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985" activeTab="2"/>
  </bookViews>
  <sheets>
    <sheet name="Sheet1" sheetId="1" r:id="rId1"/>
    <sheet name="Sheet 2" sheetId="4" r:id="rId2"/>
    <sheet name="lasers" sheetId="5" r:id="rId3"/>
  </sheets>
  <calcPr calcId="124519"/>
</workbook>
</file>

<file path=xl/calcChain.xml><?xml version="1.0" encoding="utf-8"?>
<calcChain xmlns="http://schemas.openxmlformats.org/spreadsheetml/2006/main">
  <c r="G36" i="5"/>
  <c r="G35"/>
  <c r="G34"/>
  <c r="F36"/>
  <c r="E36"/>
  <c r="F35"/>
  <c r="E35"/>
  <c r="F34"/>
  <c r="E34"/>
  <c r="B36"/>
  <c r="B35"/>
  <c r="B34"/>
  <c r="C28"/>
  <c r="C29" s="1"/>
  <c r="D35" s="1"/>
  <c r="E19"/>
  <c r="F19" s="1"/>
  <c r="E18"/>
  <c r="F18" s="1"/>
  <c r="E17"/>
  <c r="F17" s="1"/>
  <c r="E16"/>
  <c r="F16" s="1"/>
  <c r="E15"/>
  <c r="F15" s="1"/>
  <c r="E14"/>
  <c r="F14" s="1"/>
  <c r="E13"/>
  <c r="F13" s="1"/>
  <c r="F20" s="1"/>
  <c r="F21" s="1"/>
  <c r="B8"/>
  <c r="B7"/>
  <c r="B6"/>
  <c r="E20" i="4"/>
  <c r="E21"/>
  <c r="E22"/>
  <c r="E23"/>
  <c r="E24"/>
  <c r="E25"/>
  <c r="E19"/>
  <c r="F19"/>
  <c r="F25"/>
  <c r="F24"/>
  <c r="F23"/>
  <c r="F22"/>
  <c r="F21"/>
  <c r="F20"/>
  <c r="C33" i="1"/>
  <c r="B13" i="4"/>
  <c r="D14"/>
  <c r="B8"/>
  <c r="B7"/>
  <c r="B6"/>
  <c r="E60" i="1"/>
  <c r="E44"/>
  <c r="F44"/>
  <c r="E45"/>
  <c r="F45" s="1"/>
  <c r="E46"/>
  <c r="F46" s="1"/>
  <c r="E47"/>
  <c r="F47" s="1"/>
  <c r="E48"/>
  <c r="F48" s="1"/>
  <c r="E49"/>
  <c r="F49" s="1"/>
  <c r="E50"/>
  <c r="F50" s="1"/>
  <c r="C34"/>
  <c r="C28"/>
  <c r="C29" s="1"/>
  <c r="C35" s="1"/>
  <c r="A13" i="4" s="1"/>
  <c r="C13" s="1"/>
  <c r="B8" i="1"/>
  <c r="B7"/>
  <c r="B6"/>
  <c r="D36" i="5" l="1"/>
  <c r="D34"/>
  <c r="F26" i="4"/>
  <c r="F27" s="1"/>
  <c r="F53" i="1"/>
  <c r="F52"/>
  <c r="E58" s="1"/>
  <c r="F36"/>
  <c r="A14" i="4"/>
  <c r="C14" s="1"/>
  <c r="A15"/>
  <c r="C15" s="1"/>
  <c r="C36" i="1"/>
  <c r="A77" l="1"/>
  <c r="A59"/>
  <c r="A61"/>
  <c r="A63"/>
  <c r="A65"/>
  <c r="A67"/>
  <c r="A69"/>
  <c r="A71"/>
  <c r="A73"/>
  <c r="A75"/>
  <c r="A58"/>
  <c r="B79" s="1"/>
  <c r="A76"/>
  <c r="A78"/>
  <c r="A60"/>
  <c r="A62"/>
  <c r="A64"/>
  <c r="A66"/>
  <c r="A68"/>
  <c r="A70"/>
  <c r="A72"/>
  <c r="A74"/>
</calcChain>
</file>

<file path=xl/comments1.xml><?xml version="1.0" encoding="utf-8"?>
<comments xmlns="http://schemas.openxmlformats.org/spreadsheetml/2006/main">
  <authors>
    <author>Jamie Bunnell</author>
  </authors>
  <commentList>
    <comment ref="E58" authorId="0">
      <text>
        <r>
          <rPr>
            <b/>
            <sz val="9"/>
            <color indexed="81"/>
            <rFont val="Tahoma"/>
            <charset val="1"/>
          </rPr>
          <t>Jamie Bunnell:</t>
        </r>
        <r>
          <rPr>
            <sz val="9"/>
            <color indexed="81"/>
            <rFont val="Tahoma"/>
            <charset val="1"/>
          </rPr>
          <t xml:space="preserve">
reciprical of the slope:
1/slope is same as result in cell B79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Jamie Bunnell:</t>
        </r>
        <r>
          <rPr>
            <sz val="9"/>
            <color indexed="81"/>
            <rFont val="Tahoma"/>
            <family val="2"/>
          </rPr>
          <t xml:space="preserve">
dist for spectrometer to scan slit.</t>
        </r>
      </text>
    </comment>
  </commentList>
</comments>
</file>

<file path=xl/sharedStrings.xml><?xml version="1.0" encoding="utf-8"?>
<sst xmlns="http://schemas.openxmlformats.org/spreadsheetml/2006/main" count="174" uniqueCount="89">
  <si>
    <t>Date Created:</t>
  </si>
  <si>
    <t>Date Updated:</t>
  </si>
  <si>
    <t>Project #:</t>
  </si>
  <si>
    <t>NA</t>
  </si>
  <si>
    <t>Filepath:</t>
  </si>
  <si>
    <t>Filename:</t>
  </si>
  <si>
    <t>Worksheet:</t>
  </si>
  <si>
    <t>Table 1:</t>
  </si>
  <si>
    <t>diffraction grating properties</t>
  </si>
  <si>
    <t>per mm</t>
  </si>
  <si>
    <t>distance between slits</t>
  </si>
  <si>
    <t>per m</t>
  </si>
  <si>
    <t>meters</t>
  </si>
  <si>
    <t>Table 2:</t>
  </si>
  <si>
    <t>Distances measured</t>
  </si>
  <si>
    <t>Distance to screen</t>
  </si>
  <si>
    <t>number of slits per mm</t>
  </si>
  <si>
    <t>number of slits per meter</t>
  </si>
  <si>
    <t>m</t>
  </si>
  <si>
    <t>separation between fringe</t>
  </si>
  <si>
    <t>Wavelength in meters</t>
  </si>
  <si>
    <t>Wavelength in nano-meters</t>
  </si>
  <si>
    <t>nm</t>
  </si>
  <si>
    <t>Method:</t>
  </si>
  <si>
    <t>Red laser pen held in stand, shining through diffraction grating</t>
  </si>
  <si>
    <t>distance measured between first order fringe</t>
  </si>
  <si>
    <t>Wavelength calculated using Equation 1</t>
  </si>
  <si>
    <t>ƛ = (a * x) / d</t>
  </si>
  <si>
    <t>Where</t>
  </si>
  <si>
    <t>ƛ = Wavelength in meters</t>
  </si>
  <si>
    <t>a = distance between slits on diffraction grarting (slit spacing)</t>
  </si>
  <si>
    <t>x = laser dot (fringe) separation in meters</t>
  </si>
  <si>
    <t>Wavelength calculations</t>
  </si>
  <si>
    <t>Equation 1:</t>
  </si>
  <si>
    <t>d = distance between screen and diffraction grating in meters (where d = 1 / slits per mm)</t>
  </si>
  <si>
    <t>Note:</t>
  </si>
  <si>
    <t>Distance between slits is calculated using 1 / slits per mm, as per row 29, table 1</t>
  </si>
  <si>
    <t>Calculation of light wavelength</t>
  </si>
  <si>
    <t>Wavelength</t>
  </si>
  <si>
    <t>Red</t>
  </si>
  <si>
    <t>~ 700–635 nm</t>
  </si>
  <si>
    <t>Orange</t>
  </si>
  <si>
    <t>~ 635–590 nm</t>
  </si>
  <si>
    <t>Yellow</t>
  </si>
  <si>
    <t>~ 590–560 nm</t>
  </si>
  <si>
    <t>Green</t>
  </si>
  <si>
    <t>~ 560–520 nm</t>
  </si>
  <si>
    <t>Cyan</t>
  </si>
  <si>
    <t>~ 520–490 nm</t>
  </si>
  <si>
    <t>Blue</t>
  </si>
  <si>
    <t>~ 490–450 nm</t>
  </si>
  <si>
    <t>Violet or Purple</t>
  </si>
  <si>
    <t>~ 450–400 nm</t>
  </si>
  <si>
    <t>Colour</t>
  </si>
  <si>
    <t>Table 3:</t>
  </si>
  <si>
    <t>Wavelength (ƛ)</t>
  </si>
  <si>
    <t>max</t>
  </si>
  <si>
    <t>min</t>
  </si>
  <si>
    <t>fringe sep (m)</t>
  </si>
  <si>
    <t>mm</t>
  </si>
  <si>
    <t>SLOPE</t>
  </si>
  <si>
    <t>INTERCEPT</t>
  </si>
  <si>
    <t>Source: wikipedia</t>
  </si>
  <si>
    <t>Calculate fringe separation as a function of light wavelength</t>
  </si>
  <si>
    <t>Table 4:</t>
  </si>
  <si>
    <t>Based on a maximum 1mm resolution, determine resolution of measurable wavelength</t>
  </si>
  <si>
    <t>Sep (mm)</t>
  </si>
  <si>
    <t>Wavelength (nm)</t>
  </si>
  <si>
    <t>nm / mm</t>
  </si>
  <si>
    <t>linear dist</t>
  </si>
  <si>
    <t>slit opening should be 1mm wide</t>
  </si>
  <si>
    <t>Fringe separation for 700 nm wavelength</t>
  </si>
  <si>
    <t>dist to screen (cm)</t>
  </si>
  <si>
    <t>distance to screen (m)</t>
  </si>
  <si>
    <t>Fringe sep (m)</t>
  </si>
  <si>
    <t>Fringe sep (cm)</t>
  </si>
  <si>
    <t>nm per mm</t>
  </si>
  <si>
    <t>Wavelengths taken from wikipedia</t>
  </si>
  <si>
    <t>Measured wavelengths</t>
  </si>
  <si>
    <t>Laser Colour</t>
  </si>
  <si>
    <t>Grating properties</t>
  </si>
  <si>
    <t>max (nm)</t>
  </si>
  <si>
    <t>min (nm)</t>
  </si>
  <si>
    <t>% diff</t>
  </si>
  <si>
    <t>Fringe dist. (m)</t>
  </si>
  <si>
    <t>screen dist. (m)</t>
  </si>
  <si>
    <t>Max (nm)</t>
  </si>
  <si>
    <t>Min (nm)</t>
  </si>
  <si>
    <r>
      <rPr>
        <b/>
        <sz val="10"/>
        <color theme="1"/>
        <rFont val="Calibri"/>
        <family val="2"/>
      </rPr>
      <t>λ</t>
    </r>
    <r>
      <rPr>
        <b/>
        <sz val="10"/>
        <color theme="1"/>
        <rFont val="Arial"/>
        <family val="2"/>
      </rPr>
      <t xml:space="preserve"> (nm)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</si>
</sst>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%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1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0" xfId="0" applyFont="1" applyFill="1"/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165" fontId="2" fillId="3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Sheet1!$F$43</c:f>
              <c:strCache>
                <c:ptCount val="1"/>
                <c:pt idx="0">
                  <c:v>mm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1.3333333333333348E-3"/>
                  <c:y val="0.21345524691358025"/>
                </c:manualLayout>
              </c:layout>
              <c:numFmt formatCode="General" sourceLinked="0"/>
            </c:trendlineLbl>
          </c:trendline>
          <c:xVal>
            <c:numRef>
              <c:f>Sheet1!$C$44:$C$50</c:f>
              <c:numCache>
                <c:formatCode>General</c:formatCode>
                <c:ptCount val="7"/>
                <c:pt idx="0">
                  <c:v>700</c:v>
                </c:pt>
                <c:pt idx="1">
                  <c:v>635</c:v>
                </c:pt>
                <c:pt idx="2">
                  <c:v>590</c:v>
                </c:pt>
                <c:pt idx="3">
                  <c:v>560</c:v>
                </c:pt>
                <c:pt idx="4">
                  <c:v>520</c:v>
                </c:pt>
                <c:pt idx="5">
                  <c:v>490</c:v>
                </c:pt>
                <c:pt idx="6">
                  <c:v>450</c:v>
                </c:pt>
              </c:numCache>
            </c:numRef>
          </c:xVal>
          <c:yVal>
            <c:numRef>
              <c:f>Sheet1!$F$44:$F$50</c:f>
              <c:numCache>
                <c:formatCode>0.00</c:formatCode>
                <c:ptCount val="7"/>
                <c:pt idx="0">
                  <c:v>44.800000000000004</c:v>
                </c:pt>
                <c:pt idx="1">
                  <c:v>40.640000000000008</c:v>
                </c:pt>
                <c:pt idx="2">
                  <c:v>37.760000000000005</c:v>
                </c:pt>
                <c:pt idx="3">
                  <c:v>35.840000000000003</c:v>
                </c:pt>
                <c:pt idx="4">
                  <c:v>33.279999999999994</c:v>
                </c:pt>
                <c:pt idx="5">
                  <c:v>31.360000000000007</c:v>
                </c:pt>
                <c:pt idx="6">
                  <c:v>28.800000000000008</c:v>
                </c:pt>
              </c:numCache>
            </c:numRef>
          </c:yVal>
          <c:smooth val="1"/>
        </c:ser>
        <c:axId val="58986880"/>
        <c:axId val="58988416"/>
      </c:scatterChart>
      <c:valAx>
        <c:axId val="58986880"/>
        <c:scaling>
          <c:orientation val="minMax"/>
          <c:max val="700"/>
          <c:min val="400"/>
        </c:scaling>
        <c:axPos val="b"/>
        <c:numFmt formatCode="General" sourceLinked="1"/>
        <c:tickLblPos val="nextTo"/>
        <c:crossAx val="58988416"/>
        <c:crosses val="autoZero"/>
        <c:crossBetween val="midCat"/>
      </c:valAx>
      <c:valAx>
        <c:axId val="58988416"/>
        <c:scaling>
          <c:orientation val="minMax"/>
        </c:scaling>
        <c:axPos val="l"/>
        <c:numFmt formatCode="0.00" sourceLinked="1"/>
        <c:tickLblPos val="nextTo"/>
        <c:crossAx val="58986880"/>
        <c:crosses val="autoZero"/>
        <c:crossBetween val="midCat"/>
      </c:valAx>
    </c:plotArea>
    <c:plotVisOnly val="1"/>
  </c:chart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dist to screen vs</a:t>
            </a:r>
            <a:r>
              <a:rPr lang="en-US" baseline="0"/>
              <a:t> fringe separation</a:t>
            </a:r>
            <a:endParaRPr lang="en-US"/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'Sheet 2'!$D$12</c:f>
              <c:strCache>
                <c:ptCount val="1"/>
                <c:pt idx="0">
                  <c:v>dist to screen (cm)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'Sheet 2'!$C$13:$C$15</c:f>
              <c:numCache>
                <c:formatCode>0.00</c:formatCode>
                <c:ptCount val="3"/>
                <c:pt idx="0">
                  <c:v>1.58203125</c:v>
                </c:pt>
                <c:pt idx="1">
                  <c:v>3.515625</c:v>
                </c:pt>
                <c:pt idx="2">
                  <c:v>7.03125</c:v>
                </c:pt>
              </c:numCache>
            </c:numRef>
          </c:xVal>
          <c:yVal>
            <c:numRef>
              <c:f>'Sheet 2'!$D$13:$D$15</c:f>
              <c:numCache>
                <c:formatCode>General</c:formatCode>
                <c:ptCount val="3"/>
                <c:pt idx="0">
                  <c:v>4.5</c:v>
                </c:pt>
                <c:pt idx="1">
                  <c:v>10</c:v>
                </c:pt>
                <c:pt idx="2">
                  <c:v>20</c:v>
                </c:pt>
              </c:numCache>
            </c:numRef>
          </c:yVal>
          <c:smooth val="1"/>
        </c:ser>
        <c:axId val="59033856"/>
        <c:axId val="59322752"/>
      </c:scatterChart>
      <c:valAx>
        <c:axId val="59033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Fringe</a:t>
                </a:r>
                <a:r>
                  <a:rPr lang="en-GB" baseline="0"/>
                  <a:t> separation (cm)</a:t>
                </a:r>
                <a:endParaRPr lang="en-GB"/>
              </a:p>
            </c:rich>
          </c:tx>
        </c:title>
        <c:numFmt formatCode="0.00" sourceLinked="1"/>
        <c:tickLblPos val="nextTo"/>
        <c:crossAx val="59322752"/>
        <c:crosses val="autoZero"/>
        <c:crossBetween val="midCat"/>
      </c:valAx>
      <c:valAx>
        <c:axId val="593227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Distance to screen</a:t>
                </a:r>
                <a:r>
                  <a:rPr lang="en-GB" baseline="0"/>
                  <a:t> (cm)</a:t>
                </a:r>
                <a:endParaRPr lang="en-GB"/>
              </a:p>
            </c:rich>
          </c:tx>
        </c:title>
        <c:numFmt formatCode="General" sourceLinked="1"/>
        <c:tickLblPos val="nextTo"/>
        <c:crossAx val="59033856"/>
        <c:crosses val="autoZero"/>
        <c:crossBetween val="midCat"/>
      </c:valAx>
    </c:plotArea>
    <c:plotVisOnly val="1"/>
  </c:chart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Wavelength vs Colour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lasers!$D$33</c:f>
              <c:strCache>
                <c:ptCount val="1"/>
                <c:pt idx="0">
                  <c:v>Wavelength (nm)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lasers!$A$34:$A$36</c:f>
              <c:strCache>
                <c:ptCount val="3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</c:strCache>
            </c:strRef>
          </c:cat>
          <c:val>
            <c:numRef>
              <c:f>lasers!$D$34:$D$36</c:f>
              <c:numCache>
                <c:formatCode>0.00</c:formatCode>
                <c:ptCount val="3"/>
                <c:pt idx="0">
                  <c:v>679.73856209150335</c:v>
                </c:pt>
                <c:pt idx="1">
                  <c:v>562.09150326797385</c:v>
                </c:pt>
                <c:pt idx="2">
                  <c:v>444.44444444444446</c:v>
                </c:pt>
              </c:numCache>
            </c:numRef>
          </c:val>
        </c:ser>
        <c:ser>
          <c:idx val="1"/>
          <c:order val="1"/>
          <c:tx>
            <c:v>Upper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lasers!$E$34:$E$36</c:f>
              <c:numCache>
                <c:formatCode>0.00</c:formatCode>
                <c:ptCount val="3"/>
                <c:pt idx="0">
                  <c:v>640</c:v>
                </c:pt>
                <c:pt idx="1">
                  <c:v>522</c:v>
                </c:pt>
                <c:pt idx="2">
                  <c:v>395</c:v>
                </c:pt>
              </c:numCache>
            </c:numRef>
          </c:val>
        </c:ser>
        <c:ser>
          <c:idx val="2"/>
          <c:order val="2"/>
          <c:tx>
            <c:v>Lower</c:v>
          </c:tx>
          <c:spPr>
            <a:ln w="2222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val>
            <c:numRef>
              <c:f>lasers!$F$34:$F$36</c:f>
              <c:numCache>
                <c:formatCode>0.00</c:formatCode>
                <c:ptCount val="3"/>
                <c:pt idx="0">
                  <c:v>660</c:v>
                </c:pt>
                <c:pt idx="1">
                  <c:v>542</c:v>
                </c:pt>
                <c:pt idx="2">
                  <c:v>415</c:v>
                </c:pt>
              </c:numCache>
            </c:numRef>
          </c:val>
        </c:ser>
        <c:marker val="1"/>
        <c:axId val="59422592"/>
        <c:axId val="59428864"/>
      </c:lineChart>
      <c:catAx>
        <c:axId val="59422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Laser Colour</a:t>
                </a:r>
              </a:p>
            </c:rich>
          </c:tx>
          <c:layout/>
        </c:title>
        <c:tickLblPos val="nextTo"/>
        <c:spPr>
          <a:ln>
            <a:solidFill>
              <a:sysClr val="windowText" lastClr="000000"/>
            </a:solidFill>
          </a:ln>
        </c:spPr>
        <c:crossAx val="59428864"/>
        <c:crosses val="autoZero"/>
        <c:auto val="1"/>
        <c:lblAlgn val="ctr"/>
        <c:lblOffset val="100"/>
      </c:catAx>
      <c:valAx>
        <c:axId val="59428864"/>
        <c:scaling>
          <c:orientation val="minMax"/>
          <c:max val="690"/>
          <c:min val="39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Wavelength</a:t>
                </a:r>
                <a:r>
                  <a:rPr lang="en-GB" baseline="0"/>
                  <a:t> (nm)</a:t>
                </a:r>
                <a:endParaRPr lang="en-GB"/>
              </a:p>
            </c:rich>
          </c:tx>
          <c:layout/>
        </c:title>
        <c:numFmt formatCode="0" sourceLinked="0"/>
        <c:tickLblPos val="nextTo"/>
        <c:spPr>
          <a:ln>
            <a:solidFill>
              <a:sysClr val="windowText" lastClr="000000"/>
            </a:solidFill>
          </a:ln>
        </c:spPr>
        <c:crossAx val="59422592"/>
        <c:crosses val="autoZero"/>
        <c:crossBetween val="between"/>
      </c:valAx>
    </c:plotArea>
    <c:plotVisOnly val="1"/>
  </c:chart>
  <c:spPr>
    <a:ln>
      <a:solidFill>
        <a:sysClr val="windowText" lastClr="000000"/>
      </a:solidFill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42</xdr:row>
      <xdr:rowOff>0</xdr:rowOff>
    </xdr:from>
    <xdr:to>
      <xdr:col>12</xdr:col>
      <xdr:colOff>571050</xdr:colOff>
      <xdr:row>62</xdr:row>
      <xdr:rowOff>1500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13</xdr:col>
      <xdr:colOff>552000</xdr:colOff>
      <xdr:row>20</xdr:row>
      <xdr:rowOff>1500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38</xdr:row>
      <xdr:rowOff>9525</xdr:rowOff>
    </xdr:from>
    <xdr:to>
      <xdr:col>7</xdr:col>
      <xdr:colOff>732975</xdr:colOff>
      <xdr:row>58</xdr:row>
      <xdr:rowOff>11025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workbookViewId="0">
      <selection activeCell="C29" sqref="C29"/>
    </sheetView>
  </sheetViews>
  <sheetFormatPr defaultRowHeight="12.75"/>
  <cols>
    <col min="1" max="6" width="15.7109375" style="2" customWidth="1"/>
    <col min="7" max="16384" width="9.140625" style="2"/>
  </cols>
  <sheetData>
    <row r="1" spans="1:2" ht="20.25">
      <c r="A1" s="1" t="s">
        <v>32</v>
      </c>
    </row>
    <row r="3" spans="1:2">
      <c r="A3" s="3" t="s">
        <v>0</v>
      </c>
      <c r="B3" s="4">
        <v>43361</v>
      </c>
    </row>
    <row r="4" spans="1:2">
      <c r="A4" s="3" t="s">
        <v>1</v>
      </c>
      <c r="B4" s="4">
        <v>43364</v>
      </c>
    </row>
    <row r="5" spans="1:2">
      <c r="A5" s="3" t="s">
        <v>2</v>
      </c>
      <c r="B5" s="5" t="s">
        <v>3</v>
      </c>
    </row>
    <row r="6" spans="1:2">
      <c r="A6" s="3" t="s">
        <v>4</v>
      </c>
      <c r="B6" s="5" t="str">
        <f ca="1">LEFT(CELL("filename"),FIND("[",CELL("filename"),1)-1)</f>
        <v>F:\Project to backup\spectrometer files\</v>
      </c>
    </row>
    <row r="7" spans="1:2">
      <c r="A7" s="3" t="s">
        <v>5</v>
      </c>
      <c r="B7" s="5" t="str">
        <f ca="1">MID(CELL("filename"),SEARCH("[",CELL("filename"))+1, SEARCH("]",CELL("filename"))-SEARCH("[",CELL("filename"))-1)</f>
        <v>wavelength_calcs_18-09-2018.xlsx</v>
      </c>
    </row>
    <row r="8" spans="1:2">
      <c r="A8" s="3" t="s">
        <v>6</v>
      </c>
      <c r="B8" s="5" t="str">
        <f ca="1">RIGHT(CELL("filename",E4),LEN(CELL("filename",E4))-FIND("]",CELL("filename",E4)))</f>
        <v>Sheet1</v>
      </c>
    </row>
    <row r="10" spans="1:2">
      <c r="A10" s="6" t="s">
        <v>23</v>
      </c>
    </row>
    <row r="11" spans="1:2">
      <c r="A11" s="2" t="s">
        <v>24</v>
      </c>
    </row>
    <row r="12" spans="1:2">
      <c r="A12" s="2" t="s">
        <v>25</v>
      </c>
    </row>
    <row r="13" spans="1:2">
      <c r="A13" s="2" t="s">
        <v>26</v>
      </c>
    </row>
    <row r="15" spans="1:2">
      <c r="A15" s="6" t="s">
        <v>33</v>
      </c>
      <c r="B15" s="2" t="s">
        <v>37</v>
      </c>
    </row>
    <row r="17" spans="1:4">
      <c r="A17" s="7" t="s">
        <v>27</v>
      </c>
    </row>
    <row r="19" spans="1:4">
      <c r="A19" s="7" t="s">
        <v>28</v>
      </c>
    </row>
    <row r="20" spans="1:4">
      <c r="A20" s="7" t="s">
        <v>29</v>
      </c>
    </row>
    <row r="21" spans="1:4">
      <c r="A21" s="7" t="s">
        <v>30</v>
      </c>
    </row>
    <row r="22" spans="1:4">
      <c r="A22" s="7" t="s">
        <v>31</v>
      </c>
    </row>
    <row r="23" spans="1:4">
      <c r="A23" s="7" t="s">
        <v>34</v>
      </c>
    </row>
    <row r="25" spans="1:4">
      <c r="A25" s="6" t="s">
        <v>7</v>
      </c>
      <c r="B25" s="2" t="s">
        <v>8</v>
      </c>
    </row>
    <row r="27" spans="1:4">
      <c r="A27" s="8" t="s">
        <v>16</v>
      </c>
      <c r="B27" s="9"/>
      <c r="C27" s="10">
        <v>500</v>
      </c>
      <c r="D27" s="11" t="s">
        <v>9</v>
      </c>
    </row>
    <row r="28" spans="1:4">
      <c r="A28" s="8" t="s">
        <v>17</v>
      </c>
      <c r="B28" s="9"/>
      <c r="C28" s="14">
        <f>C27*1000</f>
        <v>500000</v>
      </c>
      <c r="D28" s="11" t="s">
        <v>11</v>
      </c>
    </row>
    <row r="29" spans="1:4">
      <c r="A29" s="8" t="s">
        <v>10</v>
      </c>
      <c r="B29" s="9"/>
      <c r="C29" s="14">
        <f>1/C28</f>
        <v>1.9999999999999999E-6</v>
      </c>
      <c r="D29" s="11" t="s">
        <v>12</v>
      </c>
    </row>
    <row r="31" spans="1:4">
      <c r="A31" s="6" t="s">
        <v>13</v>
      </c>
      <c r="B31" s="2" t="s">
        <v>14</v>
      </c>
    </row>
    <row r="33" spans="1:6">
      <c r="A33" s="8" t="s">
        <v>15</v>
      </c>
      <c r="B33" s="9"/>
      <c r="C33" s="13">
        <f>128*10^-3</f>
        <v>0.128</v>
      </c>
      <c r="D33" s="11" t="s">
        <v>18</v>
      </c>
    </row>
    <row r="34" spans="1:6">
      <c r="A34" s="8" t="s">
        <v>19</v>
      </c>
      <c r="B34" s="9"/>
      <c r="C34" s="13">
        <f>45*10^-3</f>
        <v>4.4999999999999998E-2</v>
      </c>
      <c r="D34" s="11" t="s">
        <v>18</v>
      </c>
    </row>
    <row r="35" spans="1:6">
      <c r="A35" s="8" t="s">
        <v>20</v>
      </c>
      <c r="B35" s="9"/>
      <c r="C35" s="14">
        <f>(C29*C34)/C33</f>
        <v>7.0312499999999994E-7</v>
      </c>
      <c r="D35" s="11" t="s">
        <v>18</v>
      </c>
    </row>
    <row r="36" spans="1:6">
      <c r="A36" s="8" t="s">
        <v>21</v>
      </c>
      <c r="B36" s="9"/>
      <c r="C36" s="12">
        <f>C35*10^9</f>
        <v>703.12499999999989</v>
      </c>
      <c r="D36" s="11" t="s">
        <v>22</v>
      </c>
      <c r="F36" s="23">
        <f>C33*C35/C29</f>
        <v>4.4999999999999998E-2</v>
      </c>
    </row>
    <row r="38" spans="1:6">
      <c r="A38" s="6" t="s">
        <v>35</v>
      </c>
    </row>
    <row r="39" spans="1:6">
      <c r="A39" s="2" t="s">
        <v>36</v>
      </c>
    </row>
    <row r="41" spans="1:6">
      <c r="A41" s="6" t="s">
        <v>54</v>
      </c>
      <c r="B41" s="2" t="s">
        <v>63</v>
      </c>
    </row>
    <row r="43" spans="1:6">
      <c r="A43" s="17" t="s">
        <v>53</v>
      </c>
      <c r="B43" s="17" t="s">
        <v>55</v>
      </c>
      <c r="C43" s="17" t="s">
        <v>56</v>
      </c>
      <c r="D43" s="17" t="s">
        <v>57</v>
      </c>
      <c r="E43" s="17" t="s">
        <v>58</v>
      </c>
      <c r="F43" s="17" t="s">
        <v>59</v>
      </c>
    </row>
    <row r="44" spans="1:6">
      <c r="A44" s="17" t="s">
        <v>39</v>
      </c>
      <c r="B44" s="17" t="s">
        <v>40</v>
      </c>
      <c r="C44" s="17">
        <v>700</v>
      </c>
      <c r="D44" s="17">
        <v>635</v>
      </c>
      <c r="E44" s="18">
        <f>$C$33*(C44*10^-9)/$C$29</f>
        <v>4.4800000000000006E-2</v>
      </c>
      <c r="F44" s="19">
        <f>E44*10^3</f>
        <v>44.800000000000004</v>
      </c>
    </row>
    <row r="45" spans="1:6">
      <c r="A45" s="17" t="s">
        <v>41</v>
      </c>
      <c r="B45" s="17" t="s">
        <v>42</v>
      </c>
      <c r="C45" s="17">
        <v>635</v>
      </c>
      <c r="D45" s="17">
        <v>590</v>
      </c>
      <c r="E45" s="18">
        <f t="shared" ref="E45:E50" si="0">$C$33*(C45*10^-9)/$C$29</f>
        <v>4.0640000000000009E-2</v>
      </c>
      <c r="F45" s="19">
        <f t="shared" ref="F45:F50" si="1">E45*10^3</f>
        <v>40.640000000000008</v>
      </c>
    </row>
    <row r="46" spans="1:6">
      <c r="A46" s="17" t="s">
        <v>43</v>
      </c>
      <c r="B46" s="17" t="s">
        <v>44</v>
      </c>
      <c r="C46" s="17">
        <v>590</v>
      </c>
      <c r="D46" s="17">
        <v>560</v>
      </c>
      <c r="E46" s="18">
        <f t="shared" si="0"/>
        <v>3.7760000000000002E-2</v>
      </c>
      <c r="F46" s="19">
        <f t="shared" si="1"/>
        <v>37.760000000000005</v>
      </c>
    </row>
    <row r="47" spans="1:6">
      <c r="A47" s="17" t="s">
        <v>45</v>
      </c>
      <c r="B47" s="17" t="s">
        <v>46</v>
      </c>
      <c r="C47" s="17">
        <v>560</v>
      </c>
      <c r="D47" s="17">
        <v>520</v>
      </c>
      <c r="E47" s="18">
        <f t="shared" si="0"/>
        <v>3.5840000000000004E-2</v>
      </c>
      <c r="F47" s="19">
        <f t="shared" si="1"/>
        <v>35.840000000000003</v>
      </c>
    </row>
    <row r="48" spans="1:6">
      <c r="A48" s="17" t="s">
        <v>47</v>
      </c>
      <c r="B48" s="17" t="s">
        <v>48</v>
      </c>
      <c r="C48" s="17">
        <v>520</v>
      </c>
      <c r="D48" s="17">
        <v>490</v>
      </c>
      <c r="E48" s="18">
        <f t="shared" si="0"/>
        <v>3.3279999999999997E-2</v>
      </c>
      <c r="F48" s="19">
        <f t="shared" si="1"/>
        <v>33.279999999999994</v>
      </c>
    </row>
    <row r="49" spans="1:6">
      <c r="A49" s="17" t="s">
        <v>49</v>
      </c>
      <c r="B49" s="17" t="s">
        <v>50</v>
      </c>
      <c r="C49" s="17">
        <v>490</v>
      </c>
      <c r="D49" s="17">
        <v>450</v>
      </c>
      <c r="E49" s="18">
        <f t="shared" si="0"/>
        <v>3.1360000000000006E-2</v>
      </c>
      <c r="F49" s="19">
        <f t="shared" si="1"/>
        <v>31.360000000000007</v>
      </c>
    </row>
    <row r="50" spans="1:6">
      <c r="A50" s="17" t="s">
        <v>51</v>
      </c>
      <c r="B50" s="17" t="s">
        <v>52</v>
      </c>
      <c r="C50" s="17">
        <v>450</v>
      </c>
      <c r="D50" s="17">
        <v>400</v>
      </c>
      <c r="E50" s="18">
        <f t="shared" si="0"/>
        <v>2.8800000000000006E-2</v>
      </c>
      <c r="F50" s="19">
        <f t="shared" si="1"/>
        <v>28.800000000000008</v>
      </c>
    </row>
    <row r="52" spans="1:6">
      <c r="A52" s="2" t="s">
        <v>62</v>
      </c>
      <c r="E52" s="2" t="s">
        <v>60</v>
      </c>
      <c r="F52" s="15">
        <f>SLOPE(F44:F50,C44:C50)</f>
        <v>6.4000000000000001E-2</v>
      </c>
    </row>
    <row r="53" spans="1:6">
      <c r="E53" s="2" t="s">
        <v>61</v>
      </c>
      <c r="F53" s="15">
        <f>INTERCEPT(F44:F50,C44:C50)</f>
        <v>7.1054273576010019E-15</v>
      </c>
    </row>
    <row r="55" spans="1:6">
      <c r="A55" s="6" t="s">
        <v>64</v>
      </c>
      <c r="B55" s="2" t="s">
        <v>65</v>
      </c>
    </row>
    <row r="57" spans="1:6">
      <c r="A57" s="20" t="s">
        <v>67</v>
      </c>
      <c r="B57" s="20" t="s">
        <v>66</v>
      </c>
      <c r="D57" s="2" t="s">
        <v>38</v>
      </c>
    </row>
    <row r="58" spans="1:6">
      <c r="A58" s="19">
        <f t="shared" ref="A58:A78" si="2">ABS($F$53-B58/$F$52)</f>
        <v>390.625</v>
      </c>
      <c r="B58" s="19">
        <v>25</v>
      </c>
      <c r="D58" s="2" t="s">
        <v>9</v>
      </c>
      <c r="E58" s="16">
        <f>1/F52</f>
        <v>15.625</v>
      </c>
      <c r="F58" s="2" t="s">
        <v>68</v>
      </c>
    </row>
    <row r="59" spans="1:6">
      <c r="A59" s="19">
        <f t="shared" si="2"/>
        <v>406.25</v>
      </c>
      <c r="B59" s="19">
        <v>26</v>
      </c>
    </row>
    <row r="60" spans="1:6">
      <c r="A60" s="19">
        <f t="shared" si="2"/>
        <v>421.875</v>
      </c>
      <c r="B60" s="19">
        <v>27</v>
      </c>
      <c r="D60" s="2" t="s">
        <v>69</v>
      </c>
      <c r="E60" s="16">
        <f>B78-B58</f>
        <v>20</v>
      </c>
    </row>
    <row r="61" spans="1:6">
      <c r="A61" s="19">
        <f t="shared" si="2"/>
        <v>437.5</v>
      </c>
      <c r="B61" s="19">
        <v>28</v>
      </c>
    </row>
    <row r="62" spans="1:6">
      <c r="A62" s="19">
        <f t="shared" si="2"/>
        <v>453.125</v>
      </c>
      <c r="B62" s="19">
        <v>29</v>
      </c>
      <c r="D62" s="2" t="s">
        <v>70</v>
      </c>
    </row>
    <row r="63" spans="1:6">
      <c r="A63" s="19">
        <f t="shared" si="2"/>
        <v>468.75</v>
      </c>
      <c r="B63" s="19">
        <v>30</v>
      </c>
    </row>
    <row r="64" spans="1:6">
      <c r="A64" s="19">
        <f t="shared" si="2"/>
        <v>484.375</v>
      </c>
      <c r="B64" s="19">
        <v>31</v>
      </c>
    </row>
    <row r="65" spans="1:2">
      <c r="A65" s="19">
        <f t="shared" si="2"/>
        <v>500</v>
      </c>
      <c r="B65" s="19">
        <v>32</v>
      </c>
    </row>
    <row r="66" spans="1:2">
      <c r="A66" s="19">
        <f t="shared" si="2"/>
        <v>515.625</v>
      </c>
      <c r="B66" s="19">
        <v>33</v>
      </c>
    </row>
    <row r="67" spans="1:2">
      <c r="A67" s="19">
        <f t="shared" si="2"/>
        <v>531.25</v>
      </c>
      <c r="B67" s="19">
        <v>34</v>
      </c>
    </row>
    <row r="68" spans="1:2">
      <c r="A68" s="19">
        <f t="shared" si="2"/>
        <v>546.875</v>
      </c>
      <c r="B68" s="19">
        <v>35</v>
      </c>
    </row>
    <row r="69" spans="1:2">
      <c r="A69" s="19">
        <f t="shared" si="2"/>
        <v>562.5</v>
      </c>
      <c r="B69" s="19">
        <v>36</v>
      </c>
    </row>
    <row r="70" spans="1:2">
      <c r="A70" s="19">
        <f t="shared" si="2"/>
        <v>578.125</v>
      </c>
      <c r="B70" s="19">
        <v>37</v>
      </c>
    </row>
    <row r="71" spans="1:2">
      <c r="A71" s="19">
        <f t="shared" si="2"/>
        <v>593.75</v>
      </c>
      <c r="B71" s="19">
        <v>38</v>
      </c>
    </row>
    <row r="72" spans="1:2">
      <c r="A72" s="19">
        <f t="shared" si="2"/>
        <v>609.375</v>
      </c>
      <c r="B72" s="19">
        <v>39</v>
      </c>
    </row>
    <row r="73" spans="1:2">
      <c r="A73" s="19">
        <f t="shared" si="2"/>
        <v>625</v>
      </c>
      <c r="B73" s="19">
        <v>40</v>
      </c>
    </row>
    <row r="74" spans="1:2">
      <c r="A74" s="19">
        <f t="shared" si="2"/>
        <v>640.625</v>
      </c>
      <c r="B74" s="19">
        <v>41</v>
      </c>
    </row>
    <row r="75" spans="1:2">
      <c r="A75" s="19">
        <f t="shared" si="2"/>
        <v>656.25</v>
      </c>
      <c r="B75" s="19">
        <v>42</v>
      </c>
    </row>
    <row r="76" spans="1:2">
      <c r="A76" s="19">
        <f t="shared" si="2"/>
        <v>671.875</v>
      </c>
      <c r="B76" s="19">
        <v>43</v>
      </c>
    </row>
    <row r="77" spans="1:2">
      <c r="A77" s="19">
        <f t="shared" si="2"/>
        <v>687.5</v>
      </c>
      <c r="B77" s="19">
        <v>44</v>
      </c>
    </row>
    <row r="78" spans="1:2">
      <c r="A78" s="19">
        <f t="shared" si="2"/>
        <v>703.125</v>
      </c>
      <c r="B78" s="19">
        <v>45</v>
      </c>
    </row>
    <row r="79" spans="1:2">
      <c r="A79" s="19"/>
      <c r="B79" s="21">
        <f>A59-A58</f>
        <v>15.625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A12" sqref="A12"/>
    </sheetView>
  </sheetViews>
  <sheetFormatPr defaultRowHeight="12.75"/>
  <cols>
    <col min="1" max="6" width="15.7109375" style="2" customWidth="1"/>
    <col min="7" max="16384" width="9.140625" style="2"/>
  </cols>
  <sheetData>
    <row r="1" spans="1:4" ht="20.25">
      <c r="A1" s="1" t="s">
        <v>32</v>
      </c>
    </row>
    <row r="3" spans="1:4">
      <c r="A3" s="3" t="s">
        <v>0</v>
      </c>
      <c r="B3" s="4">
        <v>43361</v>
      </c>
    </row>
    <row r="4" spans="1:4">
      <c r="A4" s="3" t="s">
        <v>1</v>
      </c>
      <c r="B4" s="4">
        <v>43371</v>
      </c>
    </row>
    <row r="5" spans="1:4">
      <c r="A5" s="3" t="s">
        <v>2</v>
      </c>
      <c r="B5" s="5" t="s">
        <v>3</v>
      </c>
    </row>
    <row r="6" spans="1:4">
      <c r="A6" s="3" t="s">
        <v>4</v>
      </c>
      <c r="B6" s="5" t="str">
        <f ca="1">LEFT(CELL("filename"),FIND("[",CELL("filename"),1)-1)</f>
        <v>F:\Project to backup\spectrometer files\</v>
      </c>
    </row>
    <row r="7" spans="1:4">
      <c r="A7" s="3" t="s">
        <v>5</v>
      </c>
      <c r="B7" s="5" t="str">
        <f ca="1">MID(CELL("filename"),SEARCH("[",CELL("filename"))+1, SEARCH("]",CELL("filename"))-SEARCH("[",CELL("filename"))-1)</f>
        <v>wavelength_calcs_18-09-2018.xlsx</v>
      </c>
    </row>
    <row r="8" spans="1:4">
      <c r="A8" s="3" t="s">
        <v>6</v>
      </c>
      <c r="B8" s="5" t="str">
        <f ca="1">RIGHT(CELL("filename",E4),LEN(CELL("filename",E4))-FIND("]",CELL("filename",E4)))</f>
        <v>Sheet 2</v>
      </c>
    </row>
    <row r="10" spans="1:4">
      <c r="A10" s="6" t="s">
        <v>7</v>
      </c>
      <c r="B10" s="2" t="s">
        <v>71</v>
      </c>
    </row>
    <row r="12" spans="1:4" ht="25.5">
      <c r="A12" s="22" t="s">
        <v>74</v>
      </c>
      <c r="B12" s="22" t="s">
        <v>73</v>
      </c>
      <c r="C12" s="2" t="s">
        <v>75</v>
      </c>
      <c r="D12" s="22" t="s">
        <v>72</v>
      </c>
    </row>
    <row r="13" spans="1:4">
      <c r="A13" s="24">
        <f>B13*Sheet1!$C$35/Sheet1!$C$29</f>
        <v>1.5820312499999999E-2</v>
      </c>
      <c r="B13" s="22">
        <f>D13/100</f>
        <v>4.4999999999999998E-2</v>
      </c>
      <c r="C13" s="24">
        <f>A13*100</f>
        <v>1.58203125</v>
      </c>
      <c r="D13" s="22">
        <v>4.5</v>
      </c>
    </row>
    <row r="14" spans="1:4">
      <c r="A14" s="24">
        <f>B14*Sheet1!$C$35/Sheet1!$C$29</f>
        <v>3.515625E-2</v>
      </c>
      <c r="B14" s="15">
        <v>0.1</v>
      </c>
      <c r="C14" s="24">
        <f>A14*100</f>
        <v>3.515625</v>
      </c>
      <c r="D14" s="15">
        <f>B14*100</f>
        <v>10</v>
      </c>
    </row>
    <row r="15" spans="1:4">
      <c r="A15" s="24">
        <f>B15*Sheet1!$C$35/Sheet1!$C$29</f>
        <v>7.03125E-2</v>
      </c>
      <c r="B15" s="15">
        <v>0.2</v>
      </c>
      <c r="C15" s="24">
        <f>A15*100</f>
        <v>7.03125</v>
      </c>
      <c r="D15" s="15">
        <v>20</v>
      </c>
    </row>
    <row r="18" spans="1:6">
      <c r="A18" s="17" t="s">
        <v>53</v>
      </c>
      <c r="B18" s="17" t="s">
        <v>55</v>
      </c>
      <c r="C18" s="17" t="s">
        <v>56</v>
      </c>
      <c r="D18" s="17" t="s">
        <v>57</v>
      </c>
      <c r="E18" s="17" t="s">
        <v>58</v>
      </c>
      <c r="F18" s="17" t="s">
        <v>59</v>
      </c>
    </row>
    <row r="19" spans="1:6">
      <c r="A19" s="17" t="s">
        <v>39</v>
      </c>
      <c r="B19" s="17" t="s">
        <v>40</v>
      </c>
      <c r="C19" s="17">
        <v>700</v>
      </c>
      <c r="D19" s="17">
        <v>635</v>
      </c>
      <c r="E19" s="18">
        <f>$B$14*(C19*10^-9)/(2*10^-6)</f>
        <v>3.5000000000000003E-2</v>
      </c>
      <c r="F19" s="19">
        <f>E19*10^3</f>
        <v>35</v>
      </c>
    </row>
    <row r="20" spans="1:6">
      <c r="A20" s="17" t="s">
        <v>41</v>
      </c>
      <c r="B20" s="17" t="s">
        <v>42</v>
      </c>
      <c r="C20" s="17">
        <v>635</v>
      </c>
      <c r="D20" s="17">
        <v>590</v>
      </c>
      <c r="E20" s="18">
        <f t="shared" ref="E20:E25" si="0">$B$14*(C20*10^-9)/(2*10^-6)</f>
        <v>3.1750000000000007E-2</v>
      </c>
      <c r="F20" s="19">
        <f t="shared" ref="F20:F25" si="1">E20*10^3</f>
        <v>31.750000000000007</v>
      </c>
    </row>
    <row r="21" spans="1:6">
      <c r="A21" s="17" t="s">
        <v>43</v>
      </c>
      <c r="B21" s="17" t="s">
        <v>44</v>
      </c>
      <c r="C21" s="17">
        <v>590</v>
      </c>
      <c r="D21" s="17">
        <v>560</v>
      </c>
      <c r="E21" s="18">
        <f t="shared" si="0"/>
        <v>2.9500000000000009E-2</v>
      </c>
      <c r="F21" s="19">
        <f t="shared" si="1"/>
        <v>29.500000000000007</v>
      </c>
    </row>
    <row r="22" spans="1:6">
      <c r="A22" s="17" t="s">
        <v>45</v>
      </c>
      <c r="B22" s="17" t="s">
        <v>46</v>
      </c>
      <c r="C22" s="17">
        <v>560</v>
      </c>
      <c r="D22" s="17">
        <v>520</v>
      </c>
      <c r="E22" s="18">
        <f t="shared" si="0"/>
        <v>2.8000000000000004E-2</v>
      </c>
      <c r="F22" s="19">
        <f t="shared" si="1"/>
        <v>28.000000000000004</v>
      </c>
    </row>
    <row r="23" spans="1:6">
      <c r="A23" s="17" t="s">
        <v>47</v>
      </c>
      <c r="B23" s="17" t="s">
        <v>48</v>
      </c>
      <c r="C23" s="17">
        <v>520</v>
      </c>
      <c r="D23" s="17">
        <v>490</v>
      </c>
      <c r="E23" s="18">
        <f t="shared" si="0"/>
        <v>2.6000000000000002E-2</v>
      </c>
      <c r="F23" s="19">
        <f t="shared" si="1"/>
        <v>26.000000000000004</v>
      </c>
    </row>
    <row r="24" spans="1:6">
      <c r="A24" s="17" t="s">
        <v>49</v>
      </c>
      <c r="B24" s="17" t="s">
        <v>50</v>
      </c>
      <c r="C24" s="17">
        <v>490</v>
      </c>
      <c r="D24" s="17">
        <v>450</v>
      </c>
      <c r="E24" s="18">
        <f t="shared" si="0"/>
        <v>2.4500000000000004E-2</v>
      </c>
      <c r="F24" s="19">
        <f t="shared" si="1"/>
        <v>24.500000000000004</v>
      </c>
    </row>
    <row r="25" spans="1:6">
      <c r="A25" s="17" t="s">
        <v>51</v>
      </c>
      <c r="B25" s="17" t="s">
        <v>52</v>
      </c>
      <c r="C25" s="17">
        <v>450</v>
      </c>
      <c r="D25" s="17">
        <v>400</v>
      </c>
      <c r="E25" s="18">
        <f t="shared" si="0"/>
        <v>2.2500000000000003E-2</v>
      </c>
      <c r="F25" s="19">
        <f t="shared" si="1"/>
        <v>22.500000000000004</v>
      </c>
    </row>
    <row r="26" spans="1:6">
      <c r="E26" s="2" t="s">
        <v>60</v>
      </c>
      <c r="F26" s="2">
        <f>SLOPE(F19:F25,C19:C25)</f>
        <v>0.05</v>
      </c>
    </row>
    <row r="27" spans="1:6">
      <c r="E27" s="2" t="s">
        <v>76</v>
      </c>
      <c r="F27" s="16">
        <f>1/F26</f>
        <v>20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B5" sqref="B5"/>
    </sheetView>
  </sheetViews>
  <sheetFormatPr defaultRowHeight="12.75"/>
  <cols>
    <col min="1" max="1" width="21.42578125" style="2" customWidth="1"/>
    <col min="2" max="9" width="15.7109375" style="2" customWidth="1"/>
    <col min="10" max="16384" width="9.140625" style="2"/>
  </cols>
  <sheetData>
    <row r="1" spans="1:6" ht="20.25">
      <c r="A1" s="1" t="s">
        <v>32</v>
      </c>
    </row>
    <row r="3" spans="1:6">
      <c r="A3" s="3" t="s">
        <v>0</v>
      </c>
      <c r="B3" s="4">
        <v>43361</v>
      </c>
    </row>
    <row r="4" spans="1:6">
      <c r="A4" s="3" t="s">
        <v>1</v>
      </c>
      <c r="B4" s="4">
        <v>43381</v>
      </c>
    </row>
    <row r="5" spans="1:6">
      <c r="A5" s="3" t="s">
        <v>2</v>
      </c>
      <c r="B5" s="5" t="s">
        <v>3</v>
      </c>
    </row>
    <row r="6" spans="1:6">
      <c r="A6" s="3" t="s">
        <v>4</v>
      </c>
      <c r="B6" s="5" t="str">
        <f ca="1">LEFT(CELL("filename"),FIND("[",CELL("filename"),1)-1)</f>
        <v>F:\Project to backup\spectrometer files\</v>
      </c>
    </row>
    <row r="7" spans="1:6">
      <c r="A7" s="3" t="s">
        <v>5</v>
      </c>
      <c r="B7" s="5" t="str">
        <f ca="1">MID(CELL("filename"),SEARCH("[",CELL("filename"))+1, SEARCH("]",CELL("filename"))-SEARCH("[",CELL("filename"))-1)</f>
        <v>wavelength_calcs_18-09-2018.xlsx</v>
      </c>
    </row>
    <row r="8" spans="1:6">
      <c r="A8" s="3" t="s">
        <v>6</v>
      </c>
      <c r="B8" s="5" t="str">
        <f ca="1">RIGHT(CELL("filename",E4),LEN(CELL("filename",E4))-FIND("]",CELL("filename",E4)))</f>
        <v>lasers</v>
      </c>
    </row>
    <row r="10" spans="1:6">
      <c r="A10" s="6" t="s">
        <v>7</v>
      </c>
      <c r="B10" s="2" t="s">
        <v>77</v>
      </c>
    </row>
    <row r="12" spans="1:6">
      <c r="A12" s="17" t="s">
        <v>53</v>
      </c>
      <c r="B12" s="17" t="s">
        <v>55</v>
      </c>
      <c r="C12" s="17" t="s">
        <v>56</v>
      </c>
      <c r="D12" s="17" t="s">
        <v>57</v>
      </c>
      <c r="E12" s="17" t="s">
        <v>58</v>
      </c>
      <c r="F12" s="17" t="s">
        <v>59</v>
      </c>
    </row>
    <row r="13" spans="1:6">
      <c r="A13" s="17" t="s">
        <v>39</v>
      </c>
      <c r="B13" s="17" t="s">
        <v>40</v>
      </c>
      <c r="C13" s="17">
        <v>700</v>
      </c>
      <c r="D13" s="17">
        <v>635</v>
      </c>
      <c r="E13" s="18">
        <f t="shared" ref="E13:E19" si="0">$C$35*(C13*10^-9)/(2*10^-6)</f>
        <v>5.3550000000000007E-2</v>
      </c>
      <c r="F13" s="19">
        <f>E13*10^3</f>
        <v>53.550000000000004</v>
      </c>
    </row>
    <row r="14" spans="1:6">
      <c r="A14" s="17" t="s">
        <v>41</v>
      </c>
      <c r="B14" s="17" t="s">
        <v>42</v>
      </c>
      <c r="C14" s="17">
        <v>635</v>
      </c>
      <c r="D14" s="17">
        <v>590</v>
      </c>
      <c r="E14" s="18">
        <f t="shared" si="0"/>
        <v>4.857750000000001E-2</v>
      </c>
      <c r="F14" s="19">
        <f t="shared" ref="F14:F19" si="1">E14*10^3</f>
        <v>48.577500000000008</v>
      </c>
    </row>
    <row r="15" spans="1:6">
      <c r="A15" s="17" t="s">
        <v>43</v>
      </c>
      <c r="B15" s="17" t="s">
        <v>44</v>
      </c>
      <c r="C15" s="17">
        <v>590</v>
      </c>
      <c r="D15" s="17">
        <v>560</v>
      </c>
      <c r="E15" s="18">
        <f t="shared" si="0"/>
        <v>4.5135000000000008E-2</v>
      </c>
      <c r="F15" s="19">
        <f t="shared" si="1"/>
        <v>45.135000000000005</v>
      </c>
    </row>
    <row r="16" spans="1:6">
      <c r="A16" s="17" t="s">
        <v>45</v>
      </c>
      <c r="B16" s="17" t="s">
        <v>46</v>
      </c>
      <c r="C16" s="17">
        <v>560</v>
      </c>
      <c r="D16" s="17">
        <v>520</v>
      </c>
      <c r="E16" s="18">
        <f t="shared" si="0"/>
        <v>4.284000000000001E-2</v>
      </c>
      <c r="F16" s="19">
        <f t="shared" si="1"/>
        <v>42.840000000000011</v>
      </c>
    </row>
    <row r="17" spans="1:6">
      <c r="A17" s="17" t="s">
        <v>47</v>
      </c>
      <c r="B17" s="17" t="s">
        <v>48</v>
      </c>
      <c r="C17" s="17">
        <v>520</v>
      </c>
      <c r="D17" s="17">
        <v>490</v>
      </c>
      <c r="E17" s="18">
        <f t="shared" si="0"/>
        <v>3.9779999999999996E-2</v>
      </c>
      <c r="F17" s="19">
        <f t="shared" si="1"/>
        <v>39.779999999999994</v>
      </c>
    </row>
    <row r="18" spans="1:6">
      <c r="A18" s="17" t="s">
        <v>49</v>
      </c>
      <c r="B18" s="17" t="s">
        <v>50</v>
      </c>
      <c r="C18" s="17">
        <v>490</v>
      </c>
      <c r="D18" s="17">
        <v>450</v>
      </c>
      <c r="E18" s="18">
        <f t="shared" si="0"/>
        <v>3.7485000000000011E-2</v>
      </c>
      <c r="F18" s="19">
        <f t="shared" si="1"/>
        <v>37.485000000000014</v>
      </c>
    </row>
    <row r="19" spans="1:6">
      <c r="A19" s="17" t="s">
        <v>51</v>
      </c>
      <c r="B19" s="17" t="s">
        <v>52</v>
      </c>
      <c r="C19" s="17">
        <v>450</v>
      </c>
      <c r="D19" s="17">
        <v>400</v>
      </c>
      <c r="E19" s="18">
        <f t="shared" si="0"/>
        <v>3.4424999999999997E-2</v>
      </c>
      <c r="F19" s="19">
        <f t="shared" si="1"/>
        <v>34.424999999999997</v>
      </c>
    </row>
    <row r="20" spans="1:6">
      <c r="E20" s="2" t="s">
        <v>60</v>
      </c>
      <c r="F20" s="2">
        <f>SLOPE(F13:F19,C13:C19)</f>
        <v>7.6500000000000026E-2</v>
      </c>
    </row>
    <row r="21" spans="1:6">
      <c r="E21" s="2" t="s">
        <v>76</v>
      </c>
      <c r="F21" s="16">
        <f>1/F20</f>
        <v>13.071895424836597</v>
      </c>
    </row>
    <row r="23" spans="1:6">
      <c r="A23" s="6" t="s">
        <v>13</v>
      </c>
      <c r="B23" s="2" t="s">
        <v>80</v>
      </c>
    </row>
    <row r="25" spans="1:6">
      <c r="A25" s="6" t="s">
        <v>7</v>
      </c>
      <c r="B25" s="2" t="s">
        <v>8</v>
      </c>
    </row>
    <row r="27" spans="1:6">
      <c r="A27" s="8" t="s">
        <v>16</v>
      </c>
      <c r="B27" s="9"/>
      <c r="C27" s="10">
        <v>500</v>
      </c>
      <c r="D27" s="11" t="s">
        <v>9</v>
      </c>
    </row>
    <row r="28" spans="1:6">
      <c r="A28" s="8" t="s">
        <v>17</v>
      </c>
      <c r="B28" s="9"/>
      <c r="C28" s="14">
        <f>C27*1000</f>
        <v>500000</v>
      </c>
      <c r="D28" s="11" t="s">
        <v>11</v>
      </c>
    </row>
    <row r="29" spans="1:6">
      <c r="A29" s="8" t="s">
        <v>10</v>
      </c>
      <c r="B29" s="9"/>
      <c r="C29" s="14">
        <f>1/C28</f>
        <v>1.9999999999999999E-6</v>
      </c>
      <c r="D29" s="11" t="s">
        <v>12</v>
      </c>
    </row>
    <row r="31" spans="1:6">
      <c r="A31" s="6" t="s">
        <v>13</v>
      </c>
      <c r="B31" s="2" t="s">
        <v>78</v>
      </c>
    </row>
    <row r="33" spans="1:9" ht="25.5">
      <c r="A33" s="25" t="s">
        <v>79</v>
      </c>
      <c r="B33" s="25" t="s">
        <v>74</v>
      </c>
      <c r="C33" s="25" t="s">
        <v>73</v>
      </c>
      <c r="D33" s="25" t="s">
        <v>67</v>
      </c>
      <c r="E33" s="25" t="s">
        <v>81</v>
      </c>
      <c r="F33" s="25" t="s">
        <v>82</v>
      </c>
      <c r="G33" s="29" t="s">
        <v>83</v>
      </c>
    </row>
    <row r="34" spans="1:9">
      <c r="A34" s="17" t="s">
        <v>39</v>
      </c>
      <c r="B34" s="19">
        <f>52*10^-3</f>
        <v>5.2000000000000005E-2</v>
      </c>
      <c r="C34" s="26">
        <v>0.153</v>
      </c>
      <c r="D34" s="27">
        <f>(($C$29*B34)/C34)*10^9</f>
        <v>679.73856209150335</v>
      </c>
      <c r="E34" s="19">
        <f>650-10</f>
        <v>640</v>
      </c>
      <c r="F34" s="19">
        <f>650+10</f>
        <v>660</v>
      </c>
      <c r="G34" s="28">
        <f>D34/650-1</f>
        <v>4.5751633986928164E-2</v>
      </c>
    </row>
    <row r="35" spans="1:9">
      <c r="A35" s="17" t="s">
        <v>45</v>
      </c>
      <c r="B35" s="19">
        <f>43*10^-3</f>
        <v>4.3000000000000003E-2</v>
      </c>
      <c r="C35" s="17">
        <v>0.153</v>
      </c>
      <c r="D35" s="27">
        <f t="shared" ref="D35:D36" si="2">(($C$29*B35)/C35)*10^9</f>
        <v>562.09150326797385</v>
      </c>
      <c r="E35" s="19">
        <f>532-10</f>
        <v>522</v>
      </c>
      <c r="F35" s="19">
        <f>532+10</f>
        <v>542</v>
      </c>
      <c r="G35" s="28">
        <f>D35/532-1</f>
        <v>5.6562976067620063E-2</v>
      </c>
    </row>
    <row r="36" spans="1:9">
      <c r="A36" s="17" t="s">
        <v>49</v>
      </c>
      <c r="B36" s="19">
        <f>34*10^-3</f>
        <v>3.4000000000000002E-2</v>
      </c>
      <c r="C36" s="17">
        <v>0.153</v>
      </c>
      <c r="D36" s="27">
        <f t="shared" si="2"/>
        <v>444.44444444444446</v>
      </c>
      <c r="E36" s="19">
        <f>405-10</f>
        <v>395</v>
      </c>
      <c r="F36" s="19">
        <f>405+10</f>
        <v>415</v>
      </c>
      <c r="G36" s="28">
        <f>D36/405-1</f>
        <v>9.7393689986282617E-2</v>
      </c>
    </row>
    <row r="38" spans="1:9">
      <c r="D38" s="30"/>
      <c r="E38" s="30"/>
      <c r="F38" s="30"/>
      <c r="G38" s="30"/>
      <c r="H38" s="30"/>
      <c r="I38" s="30"/>
    </row>
    <row r="39" spans="1:9">
      <c r="D39" s="30"/>
      <c r="E39" s="30"/>
      <c r="F39" s="30"/>
      <c r="G39" s="30"/>
      <c r="H39" s="30"/>
      <c r="I39" s="30"/>
    </row>
    <row r="40" spans="1:9">
      <c r="D40" s="30"/>
      <c r="E40" s="30"/>
      <c r="F40" s="30"/>
      <c r="G40" s="30"/>
      <c r="H40" s="30"/>
      <c r="I40" s="30"/>
    </row>
    <row r="41" spans="1:9">
      <c r="D41" s="30"/>
      <c r="E41" s="30"/>
      <c r="F41" s="30"/>
      <c r="G41" s="30"/>
      <c r="H41" s="30"/>
      <c r="I41" s="30"/>
    </row>
    <row r="42" spans="1:9">
      <c r="D42" s="30"/>
      <c r="E42" s="30"/>
      <c r="F42" s="30"/>
      <c r="G42" s="30"/>
      <c r="H42" s="30"/>
      <c r="I42" s="30"/>
    </row>
    <row r="43" spans="1:9">
      <c r="D43" s="30"/>
      <c r="E43" s="30"/>
      <c r="F43" s="30"/>
      <c r="G43" s="30"/>
      <c r="H43" s="30"/>
      <c r="I43" s="30"/>
    </row>
    <row r="44" spans="1:9">
      <c r="D44" s="30"/>
      <c r="E44" s="30"/>
      <c r="F44" s="30"/>
      <c r="G44" s="30"/>
      <c r="H44" s="30"/>
      <c r="I44" s="30"/>
    </row>
    <row r="45" spans="1:9">
      <c r="D45" s="30"/>
      <c r="E45" s="30"/>
      <c r="F45" s="30"/>
      <c r="G45" s="30"/>
      <c r="H45" s="30"/>
      <c r="I45" s="30"/>
    </row>
    <row r="46" spans="1:9">
      <c r="D46" s="30"/>
      <c r="E46" s="30"/>
      <c r="F46" s="30"/>
      <c r="G46" s="30"/>
      <c r="H46" s="30"/>
      <c r="I46" s="30"/>
    </row>
    <row r="47" spans="1:9">
      <c r="D47" s="30"/>
      <c r="E47" s="30"/>
      <c r="F47" s="30"/>
      <c r="G47" s="30"/>
      <c r="H47" s="30"/>
      <c r="I47" s="30"/>
    </row>
    <row r="48" spans="1:9">
      <c r="D48" s="30"/>
      <c r="E48" s="30"/>
      <c r="F48" s="30"/>
      <c r="G48" s="30"/>
      <c r="H48" s="30"/>
      <c r="I48" s="30"/>
    </row>
    <row r="49" spans="4:9">
      <c r="D49" s="30"/>
      <c r="E49" s="30"/>
      <c r="F49" s="30"/>
      <c r="G49" s="30"/>
      <c r="H49" s="30"/>
      <c r="I49" s="30"/>
    </row>
    <row r="50" spans="4:9">
      <c r="D50" s="30"/>
      <c r="E50" s="30"/>
      <c r="F50" s="30"/>
      <c r="G50" s="30"/>
      <c r="H50" s="30"/>
      <c r="I50" s="30"/>
    </row>
    <row r="51" spans="4:9">
      <c r="D51" s="30"/>
      <c r="E51" s="30"/>
      <c r="F51" s="30"/>
      <c r="G51" s="30"/>
      <c r="H51" s="30"/>
      <c r="I51" s="30"/>
    </row>
    <row r="52" spans="4:9">
      <c r="D52" s="30"/>
      <c r="E52" s="30"/>
      <c r="F52" s="30"/>
      <c r="G52" s="30"/>
      <c r="H52" s="30"/>
      <c r="I52" s="30"/>
    </row>
    <row r="53" spans="4:9">
      <c r="D53" s="30"/>
      <c r="E53" s="30"/>
      <c r="F53" s="30"/>
      <c r="G53" s="30"/>
      <c r="H53" s="30"/>
      <c r="I53" s="30"/>
    </row>
    <row r="54" spans="4:9">
      <c r="D54" s="30"/>
      <c r="E54" s="30"/>
      <c r="F54" s="30"/>
      <c r="G54" s="30"/>
      <c r="H54" s="30"/>
      <c r="I54" s="30"/>
    </row>
    <row r="55" spans="4:9">
      <c r="D55" s="30"/>
      <c r="E55" s="30"/>
      <c r="F55" s="30"/>
      <c r="G55" s="30"/>
      <c r="H55" s="30"/>
      <c r="I55" s="30"/>
    </row>
    <row r="56" spans="4:9">
      <c r="D56" s="30"/>
      <c r="E56" s="30"/>
      <c r="F56" s="30"/>
      <c r="G56" s="30"/>
      <c r="H56" s="30"/>
      <c r="I56" s="30"/>
    </row>
    <row r="57" spans="4:9">
      <c r="D57" s="30"/>
      <c r="E57" s="30"/>
      <c r="F57" s="30"/>
      <c r="G57" s="30"/>
      <c r="H57" s="30"/>
      <c r="I57" s="30"/>
    </row>
    <row r="58" spans="4:9">
      <c r="D58" s="30"/>
      <c r="E58" s="30"/>
      <c r="F58" s="30"/>
      <c r="G58" s="30"/>
      <c r="H58" s="30"/>
      <c r="I58" s="30"/>
    </row>
    <row r="59" spans="4:9">
      <c r="D59" s="30"/>
      <c r="E59" s="30"/>
      <c r="F59" s="30"/>
      <c r="G59" s="30"/>
      <c r="H59" s="30"/>
      <c r="I59" s="30"/>
    </row>
    <row r="60" spans="4:9">
      <c r="D60" s="30"/>
      <c r="E60" s="31" t="s">
        <v>79</v>
      </c>
      <c r="F60" s="32" t="s">
        <v>39</v>
      </c>
      <c r="G60" s="32" t="s">
        <v>45</v>
      </c>
      <c r="H60" s="32" t="s">
        <v>49</v>
      </c>
      <c r="I60" s="30"/>
    </row>
    <row r="61" spans="4:9">
      <c r="D61" s="30"/>
      <c r="E61" s="31" t="s">
        <v>84</v>
      </c>
      <c r="F61" s="33">
        <v>5.2000000000000005E-2</v>
      </c>
      <c r="G61" s="33">
        <v>4.3000000000000003E-2</v>
      </c>
      <c r="H61" s="33">
        <v>3.4000000000000002E-2</v>
      </c>
      <c r="I61" s="30"/>
    </row>
    <row r="62" spans="4:9">
      <c r="D62" s="30"/>
      <c r="E62" s="31" t="s">
        <v>85</v>
      </c>
      <c r="F62" s="34">
        <v>0.153</v>
      </c>
      <c r="G62" s="35">
        <v>0.153</v>
      </c>
      <c r="H62" s="35">
        <v>0.153</v>
      </c>
      <c r="I62" s="30"/>
    </row>
    <row r="63" spans="4:9">
      <c r="D63" s="30"/>
      <c r="E63" s="31" t="s">
        <v>88</v>
      </c>
      <c r="F63" s="33">
        <v>679.73856209150335</v>
      </c>
      <c r="G63" s="33">
        <v>562.09150326797385</v>
      </c>
      <c r="H63" s="33">
        <v>444.44444444444446</v>
      </c>
      <c r="I63" s="30"/>
    </row>
    <row r="64" spans="4:9">
      <c r="D64" s="30"/>
      <c r="E64" s="31" t="s">
        <v>86</v>
      </c>
      <c r="F64" s="33">
        <v>640</v>
      </c>
      <c r="G64" s="33">
        <v>522</v>
      </c>
      <c r="H64" s="33">
        <v>395</v>
      </c>
      <c r="I64" s="30"/>
    </row>
    <row r="65" spans="4:9">
      <c r="D65" s="30"/>
      <c r="E65" s="31" t="s">
        <v>87</v>
      </c>
      <c r="F65" s="33">
        <v>660</v>
      </c>
      <c r="G65" s="33">
        <v>542</v>
      </c>
      <c r="H65" s="33">
        <v>415</v>
      </c>
      <c r="I65" s="30"/>
    </row>
    <row r="66" spans="4:9">
      <c r="D66" s="30"/>
      <c r="E66" s="36" t="s">
        <v>83</v>
      </c>
      <c r="F66" s="37">
        <v>4.5751633986928164E-2</v>
      </c>
      <c r="G66" s="37">
        <v>5.6562976067620063E-2</v>
      </c>
      <c r="H66" s="37">
        <v>9.7393689986282617E-2</v>
      </c>
      <c r="I66" s="30"/>
    </row>
    <row r="67" spans="4:9">
      <c r="D67" s="30"/>
      <c r="E67" s="30"/>
      <c r="F67" s="30"/>
      <c r="G67" s="30"/>
      <c r="H67" s="30"/>
      <c r="I67" s="30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 2</vt:lpstr>
      <vt:lpstr>lasers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Bunnell</dc:creator>
  <cp:lastModifiedBy>Jamie Bunnell</cp:lastModifiedBy>
  <dcterms:created xsi:type="dcterms:W3CDTF">2018-09-18T19:24:05Z</dcterms:created>
  <dcterms:modified xsi:type="dcterms:W3CDTF">2018-10-09T20:29:45Z</dcterms:modified>
</cp:coreProperties>
</file>