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ichael\Desktop\"/>
    </mc:Choice>
  </mc:AlternateContent>
  <bookViews>
    <workbookView xWindow="0" yWindow="0" windowWidth="16380" windowHeight="8190" tabRatio="754" firstSheet="1" activeTab="1"/>
  </bookViews>
  <sheets>
    <sheet name="4 wheel Test" sheetId="7" state="hidden" r:id="rId1"/>
    <sheet name="3 wheel test" sheetId="6" r:id="rId2"/>
    <sheet name="Option 1" sheetId="1" state="hidden" r:id="rId3"/>
    <sheet name="Option2" sheetId="2" state="hidden" r:id="rId4"/>
    <sheet name="stability charts" sheetId="3" state="hidden" r:id="rId5"/>
    <sheet name="drag coefficient" sheetId="4" r:id="rId6"/>
    <sheet name="quick schematics" sheetId="5" r:id="rId7"/>
  </sheets>
  <calcPr calcId="152511"/>
</workbook>
</file>

<file path=xl/calcChain.xml><?xml version="1.0" encoding="utf-8"?>
<calcChain xmlns="http://schemas.openxmlformats.org/spreadsheetml/2006/main">
  <c r="X49" i="6" l="1"/>
  <c r="X50" i="6"/>
  <c r="W50" i="6" s="1"/>
  <c r="Z50" i="6"/>
  <c r="X51" i="6"/>
  <c r="W51" i="6" s="1"/>
  <c r="Z51" i="6"/>
  <c r="U54" i="6"/>
  <c r="AA50" i="6" l="1"/>
  <c r="E46" i="7"/>
  <c r="D97" i="7"/>
  <c r="F98" i="7" s="1"/>
  <c r="I91" i="7"/>
  <c r="G91" i="7"/>
  <c r="H91" i="7"/>
  <c r="I90" i="7"/>
  <c r="G90" i="7"/>
  <c r="H90" i="7"/>
  <c r="I89" i="7"/>
  <c r="G89" i="7"/>
  <c r="H89" i="7"/>
  <c r="I88" i="7"/>
  <c r="H88" i="7"/>
  <c r="G88" i="7"/>
  <c r="I87" i="7"/>
  <c r="H87" i="7"/>
  <c r="G87" i="7"/>
  <c r="I86" i="7"/>
  <c r="G86" i="7"/>
  <c r="I85" i="7"/>
  <c r="G85" i="7"/>
  <c r="H86" i="7"/>
  <c r="H84" i="7"/>
  <c r="G84" i="7"/>
  <c r="I84" i="7"/>
  <c r="G83" i="7"/>
  <c r="I83" i="7"/>
  <c r="I82" i="7"/>
  <c r="J98" i="7" s="1"/>
  <c r="E101" i="7" s="1"/>
  <c r="G82" i="7"/>
  <c r="H83" i="7"/>
  <c r="H104" i="7"/>
  <c r="C26" i="7"/>
  <c r="C29" i="7"/>
  <c r="G32" i="6"/>
  <c r="G31" i="6"/>
  <c r="J31" i="6" s="1"/>
  <c r="G27" i="6"/>
  <c r="G28" i="6" s="1"/>
  <c r="J28" i="6" s="1"/>
  <c r="G24" i="6"/>
  <c r="J24" i="6" s="1"/>
  <c r="J29" i="6"/>
  <c r="H26" i="6"/>
  <c r="K26" i="6" s="1"/>
  <c r="H25" i="6"/>
  <c r="K25" i="6" s="1"/>
  <c r="H24" i="6"/>
  <c r="K24" i="6" s="1"/>
  <c r="G33" i="6"/>
  <c r="J33" i="6" s="1"/>
  <c r="J26" i="6"/>
  <c r="J27" i="6"/>
  <c r="J30" i="6"/>
  <c r="I15" i="6"/>
  <c r="N45" i="7"/>
  <c r="L45" i="7"/>
  <c r="N44" i="7"/>
  <c r="L44" i="7"/>
  <c r="L43" i="7"/>
  <c r="I14" i="7"/>
  <c r="J14" i="7" s="1"/>
  <c r="C51" i="7" s="1"/>
  <c r="H72" i="7"/>
  <c r="C66" i="7"/>
  <c r="F37" i="7"/>
  <c r="C14" i="7"/>
  <c r="F46" i="7" s="1"/>
  <c r="H14" i="7"/>
  <c r="J86" i="6"/>
  <c r="J4" i="7"/>
  <c r="L5" i="6"/>
  <c r="E39" i="6"/>
  <c r="K33" i="6"/>
  <c r="I33" i="6"/>
  <c r="K32" i="6"/>
  <c r="I32" i="6"/>
  <c r="K31" i="6"/>
  <c r="I31" i="6"/>
  <c r="K30" i="6"/>
  <c r="I30" i="6"/>
  <c r="K29" i="6"/>
  <c r="I29" i="6"/>
  <c r="K28" i="6"/>
  <c r="I28" i="6"/>
  <c r="K27" i="6"/>
  <c r="I27" i="6"/>
  <c r="I26" i="6"/>
  <c r="I25" i="6"/>
  <c r="I24" i="6"/>
  <c r="C26" i="1"/>
  <c r="C35" i="1" s="1"/>
  <c r="D35" i="1" s="1"/>
  <c r="K42" i="1"/>
  <c r="J42" i="1"/>
  <c r="I11" i="1"/>
  <c r="I10" i="1"/>
  <c r="B41" i="1"/>
  <c r="E21" i="1"/>
  <c r="E15" i="1"/>
  <c r="H15" i="1" s="1"/>
  <c r="E14" i="1"/>
  <c r="H14" i="1" s="1"/>
  <c r="E22" i="1"/>
  <c r="H22" i="1" s="1"/>
  <c r="E42" i="1"/>
  <c r="H46" i="1" s="1"/>
  <c r="H65" i="1"/>
  <c r="L62" i="1"/>
  <c r="F59" i="1"/>
  <c r="E59" i="1"/>
  <c r="M59" i="1" s="1"/>
  <c r="J55" i="1"/>
  <c r="L59" i="1" s="1"/>
  <c r="I55" i="1"/>
  <c r="H55" i="1"/>
  <c r="G55" i="1"/>
  <c r="I59" i="1" s="1"/>
  <c r="P55" i="1"/>
  <c r="H59" i="1"/>
  <c r="H18" i="2"/>
  <c r="J37" i="2"/>
  <c r="I37" i="2"/>
  <c r="H37" i="2"/>
  <c r="E37" i="2"/>
  <c r="I42" i="1"/>
  <c r="E15" i="2"/>
  <c r="H15" i="2"/>
  <c r="E14" i="2"/>
  <c r="E16" i="2"/>
  <c r="H16" i="2" s="1"/>
  <c r="H14" i="2"/>
  <c r="E16" i="1"/>
  <c r="H16" i="1"/>
  <c r="E11" i="2"/>
  <c r="E9" i="2"/>
  <c r="H9" i="2" s="1"/>
  <c r="G9" i="2"/>
  <c r="G29" i="2" s="1"/>
  <c r="B34" i="2" s="1"/>
  <c r="G10" i="2"/>
  <c r="H10" i="2"/>
  <c r="G11" i="2"/>
  <c r="H11" i="2"/>
  <c r="G12" i="2"/>
  <c r="H12" i="2"/>
  <c r="G13" i="2"/>
  <c r="H13" i="2"/>
  <c r="G14" i="2"/>
  <c r="G15" i="2"/>
  <c r="G16" i="2"/>
  <c r="C21" i="2"/>
  <c r="C30" i="2" s="1"/>
  <c r="I18" i="2"/>
  <c r="G18" i="2"/>
  <c r="I17" i="2"/>
  <c r="H17" i="2"/>
  <c r="G17" i="2"/>
  <c r="I16" i="2"/>
  <c r="I15" i="2"/>
  <c r="I14" i="2"/>
  <c r="I13" i="2"/>
  <c r="I12" i="2"/>
  <c r="I11" i="2"/>
  <c r="I10" i="2"/>
  <c r="I9" i="2"/>
  <c r="I22" i="2" s="1"/>
  <c r="D25" i="2" s="1"/>
  <c r="H21" i="1"/>
  <c r="I23" i="1"/>
  <c r="G23" i="1"/>
  <c r="I22" i="1"/>
  <c r="G22" i="1"/>
  <c r="H20" i="1"/>
  <c r="H19" i="1"/>
  <c r="G14" i="1"/>
  <c r="I14" i="1"/>
  <c r="G15" i="1"/>
  <c r="I15" i="1"/>
  <c r="G16" i="1"/>
  <c r="I16" i="1"/>
  <c r="G17" i="1"/>
  <c r="H17" i="1"/>
  <c r="I17" i="1"/>
  <c r="G18" i="1"/>
  <c r="H18" i="1"/>
  <c r="I18" i="1"/>
  <c r="G19" i="1"/>
  <c r="I19" i="1"/>
  <c r="G20" i="1"/>
  <c r="I20" i="1"/>
  <c r="G21" i="1"/>
  <c r="I21" i="1"/>
  <c r="H41" i="2"/>
  <c r="L41" i="2"/>
  <c r="I41" i="2"/>
  <c r="G20" i="2"/>
  <c r="B25" i="2" s="1"/>
  <c r="J41" i="2"/>
  <c r="Q55" i="1"/>
  <c r="G59" i="1" s="1"/>
  <c r="L46" i="1"/>
  <c r="J59" i="1"/>
  <c r="K59" i="1"/>
  <c r="H21" i="2" l="1"/>
  <c r="C25" i="2" s="1"/>
  <c r="G41" i="2" s="1"/>
  <c r="H30" i="2"/>
  <c r="C34" i="2" s="1"/>
  <c r="X41" i="2" s="1"/>
  <c r="Y41" i="2" s="1"/>
  <c r="J46" i="1"/>
  <c r="B44" i="1"/>
  <c r="M41" i="2"/>
  <c r="H62" i="1"/>
  <c r="G34" i="1"/>
  <c r="I46" i="1"/>
  <c r="I31" i="2"/>
  <c r="D34" i="2" s="1"/>
  <c r="E23" i="1"/>
  <c r="H23" i="1" s="1"/>
  <c r="H35" i="1" s="1"/>
  <c r="C39" i="1" s="1"/>
  <c r="G46" i="1" s="1"/>
  <c r="K45" i="7"/>
  <c r="K44" i="7"/>
  <c r="O44" i="7" s="1"/>
  <c r="E97" i="7"/>
  <c r="H96" i="7"/>
  <c r="C101" i="7" s="1"/>
  <c r="H85" i="7"/>
  <c r="H82" i="7"/>
  <c r="I97" i="7" s="1"/>
  <c r="D101" i="7" s="1"/>
  <c r="G25" i="6"/>
  <c r="J25" i="6" s="1"/>
  <c r="H51" i="6"/>
  <c r="J32" i="6"/>
  <c r="J15" i="6"/>
  <c r="E56" i="6" s="1"/>
  <c r="J77" i="6"/>
  <c r="I51" i="6"/>
  <c r="I38" i="6"/>
  <c r="D43" i="6" s="1"/>
  <c r="F39" i="6"/>
  <c r="K40" i="6"/>
  <c r="F43" i="6" s="1"/>
  <c r="I27" i="1"/>
  <c r="D30" i="1" s="1"/>
  <c r="H26" i="1"/>
  <c r="C30" i="1" s="1"/>
  <c r="K46" i="1" s="1"/>
  <c r="B39" i="1"/>
  <c r="I36" i="1"/>
  <c r="D39" i="1" s="1"/>
  <c r="M46" i="1"/>
  <c r="M62" i="1"/>
  <c r="G25" i="1"/>
  <c r="B30" i="1" s="1"/>
  <c r="AG41" i="2" l="1"/>
  <c r="O41" i="2"/>
  <c r="R41" i="2" s="1"/>
  <c r="F41" i="2"/>
  <c r="W41" i="2"/>
  <c r="J51" i="6"/>
  <c r="AB41" i="2"/>
  <c r="AA41" i="2"/>
  <c r="K41" i="2"/>
  <c r="F37" i="2"/>
  <c r="J39" i="6"/>
  <c r="E43" i="6" s="1"/>
  <c r="E51" i="6" s="1"/>
  <c r="F56" i="6"/>
  <c r="E71" i="6"/>
  <c r="X46" i="1"/>
  <c r="Y46" i="1" s="1"/>
  <c r="F42" i="1"/>
  <c r="AG46" i="1"/>
  <c r="O46" i="1"/>
  <c r="R46" i="1" s="1"/>
  <c r="F46" i="1"/>
  <c r="W46" i="1"/>
  <c r="AB46" i="1"/>
  <c r="AA46" i="1"/>
  <c r="F61" i="6" l="1"/>
  <c r="G61" i="6" s="1"/>
  <c r="AH41" i="2"/>
  <c r="AC41" i="2"/>
  <c r="AE41" i="2" s="1"/>
  <c r="AD41" i="2"/>
  <c r="AF41" i="2" s="1"/>
  <c r="H61" i="6"/>
  <c r="N41" i="2"/>
  <c r="P41" i="2"/>
  <c r="S41" i="2" s="1"/>
  <c r="T41" i="2" s="1"/>
  <c r="Q41" i="2"/>
  <c r="E41" i="2" s="1"/>
  <c r="V46" i="1"/>
  <c r="N46" i="1"/>
  <c r="V41" i="2"/>
  <c r="D51" i="6"/>
  <c r="D56" i="6"/>
  <c r="E66" i="6"/>
  <c r="D66" i="6"/>
  <c r="Q46" i="1"/>
  <c r="E46" i="1" s="1"/>
  <c r="N62" i="1"/>
  <c r="O62" i="1" s="1"/>
  <c r="AD46" i="1"/>
  <c r="AF46" i="1" s="1"/>
  <c r="AC46" i="1"/>
  <c r="AE46" i="1" s="1"/>
  <c r="F51" i="6" l="1"/>
  <c r="Y53" i="6" s="1"/>
  <c r="P46" i="1"/>
  <c r="S46" i="1" s="1"/>
  <c r="T46" i="1" s="1"/>
  <c r="AH46" i="1"/>
  <c r="Z53" i="6" l="1"/>
  <c r="G51" i="6"/>
  <c r="Y52" i="6" s="1"/>
  <c r="Z52" i="6" s="1"/>
  <c r="W52" i="6" s="1"/>
  <c r="H71" i="6"/>
  <c r="D61" i="6"/>
  <c r="X52" i="6" l="1"/>
  <c r="W53" i="6"/>
  <c r="AA51" i="6"/>
  <c r="G71" i="6"/>
  <c r="AA52" i="6" l="1"/>
  <c r="X53" i="6"/>
  <c r="K71" i="6"/>
  <c r="L71" i="6" s="1"/>
  <c r="J71" i="6" l="1"/>
  <c r="I71" i="6"/>
  <c r="F71" i="6" s="1"/>
  <c r="M71" i="6" s="1"/>
  <c r="E61" i="6"/>
  <c r="J66" i="6"/>
  <c r="H56" i="6" l="1"/>
  <c r="K56" i="6" s="1"/>
  <c r="G66" i="6"/>
  <c r="I66" i="6" s="1"/>
  <c r="F66" i="6"/>
  <c r="H66" i="6" s="1"/>
  <c r="K66" i="6" l="1"/>
  <c r="G56" i="6"/>
  <c r="J56" i="6" l="1"/>
  <c r="K51" i="6" s="1"/>
  <c r="I56" i="6"/>
  <c r="L56" i="6" s="1"/>
  <c r="M56" i="6" s="1"/>
  <c r="N56" i="6" s="1"/>
  <c r="N71" i="6" l="1"/>
  <c r="C34" i="7"/>
  <c r="F26" i="7" l="1"/>
  <c r="C38" i="7"/>
  <c r="D56" i="7" s="1"/>
  <c r="F56" i="7" s="1"/>
  <c r="D51" i="7"/>
  <c r="E29" i="7"/>
  <c r="D46" i="7" s="1"/>
  <c r="H39" i="7" s="1"/>
  <c r="D34" i="7"/>
  <c r="B46" i="7"/>
  <c r="M47" i="7" s="1"/>
  <c r="F29" i="7"/>
  <c r="E26" i="7"/>
  <c r="C46" i="7" s="1"/>
  <c r="B38" i="7"/>
  <c r="M46" i="7" l="1"/>
  <c r="N46" i="7" s="1"/>
  <c r="K46" i="7" s="1"/>
  <c r="O45" i="7" s="1"/>
  <c r="H40" i="7"/>
  <c r="N47" i="7"/>
  <c r="K47" i="7" s="1"/>
  <c r="H61" i="7"/>
  <c r="B61" i="7"/>
  <c r="B51" i="7"/>
  <c r="C61" i="7"/>
  <c r="F66" i="7"/>
  <c r="K60" i="7"/>
  <c r="C56" i="7"/>
  <c r="B56" i="7"/>
  <c r="I69" i="7"/>
  <c r="L46" i="7" l="1"/>
  <c r="E66" i="7"/>
  <c r="E56" i="7"/>
  <c r="L47" i="7"/>
  <c r="E51" i="7" s="1"/>
  <c r="O46" i="7"/>
  <c r="E61" i="7"/>
  <c r="G61" i="7" s="1"/>
  <c r="D61" i="7"/>
  <c r="F61" i="7" s="1"/>
  <c r="F51" i="7" l="1"/>
  <c r="G51" i="7"/>
  <c r="J51" i="7" s="1"/>
  <c r="K51" i="7" s="1"/>
  <c r="L51" i="7" s="1"/>
  <c r="I51" i="7"/>
  <c r="I61" i="7"/>
  <c r="K61" i="7"/>
  <c r="I66" i="7"/>
  <c r="H51" i="7"/>
  <c r="G46" i="7" s="1"/>
  <c r="H66" i="7" l="1"/>
  <c r="J66" i="7"/>
  <c r="G66" i="7"/>
  <c r="D66" i="7" l="1"/>
  <c r="K66" i="7" s="1"/>
  <c r="L66" i="7" s="1"/>
  <c r="K62" i="7"/>
</calcChain>
</file>

<file path=xl/sharedStrings.xml><?xml version="1.0" encoding="utf-8"?>
<sst xmlns="http://schemas.openxmlformats.org/spreadsheetml/2006/main" count="688" uniqueCount="285">
  <si>
    <t>0" at one side</t>
  </si>
  <si>
    <t>0" at back</t>
  </si>
  <si>
    <t>input values (x,y,x in inches)</t>
  </si>
  <si>
    <t>mass* lever arm</t>
  </si>
  <si>
    <t>Part</t>
  </si>
  <si>
    <t>Mass(lb)</t>
  </si>
  <si>
    <t>x</t>
  </si>
  <si>
    <t>y</t>
  </si>
  <si>
    <t>z</t>
  </si>
  <si>
    <t>x*Mass</t>
  </si>
  <si>
    <t>y*Mass</t>
  </si>
  <si>
    <t>z*Mass</t>
  </si>
  <si>
    <t>Frame</t>
  </si>
  <si>
    <t>Body – Carbon Fiber</t>
  </si>
  <si>
    <t>Front Bumper</t>
  </si>
  <si>
    <t>Driver</t>
  </si>
  <si>
    <t>Roll cage</t>
  </si>
  <si>
    <t>Battery Box</t>
  </si>
  <si>
    <t>Tritium Controller</t>
  </si>
  <si>
    <t>PVs &amp; Support Frame</t>
  </si>
  <si>
    <t>∑xM</t>
  </si>
  <si>
    <t>∑Mass</t>
  </si>
  <si>
    <t>∑yM</t>
  </si>
  <si>
    <t>∑zM</t>
  </si>
  <si>
    <t>inches from respective 0 point</t>
  </si>
  <si>
    <t>x-bar</t>
  </si>
  <si>
    <t>y-bar</t>
  </si>
  <si>
    <t>z-bar</t>
  </si>
  <si>
    <t>% Weight on Rear Tire</t>
  </si>
  <si>
    <t>% Weight on Each Front Tire</t>
  </si>
  <si>
    <t>Total frame length is 180 , frame would be triangle</t>
  </si>
  <si>
    <t>his decenter of mass is 40" from front</t>
  </si>
  <si>
    <t>Motor and Rear Suspension</t>
  </si>
  <si>
    <t>Front tires, Suspension and steering</t>
  </si>
  <si>
    <t>Protrudes 10 inches from frame (making whole car 190")</t>
  </si>
  <si>
    <t>Excluding Suspension, tires and motor</t>
  </si>
  <si>
    <t>Including Suspension, tires and motor</t>
  </si>
  <si>
    <t>0" at ground</t>
  </si>
  <si>
    <t>NOTE: This analysis is useful only if the car has a 6 m^2 solar array</t>
  </si>
  <si>
    <t>Total Car Length in Meters (Regulations say 5m is max)</t>
  </si>
  <si>
    <t>INPUT THESE Values Below……………...</t>
  </si>
  <si>
    <t>Primary Three-Wheeled Vechicle Stability Problems</t>
  </si>
  <si>
    <t>Rear wheel slipping too much during a turn (causing loss of control)</t>
  </si>
  <si>
    <t>Too much pitch during hard brake (causing nosedive)</t>
  </si>
  <si>
    <t>Ability to travel at high speed without continual steering corrections to counteract weaving.</t>
  </si>
  <si>
    <t>Wheel Base</t>
  </si>
  <si>
    <t>Point at which a side load will not cause a yaw response (Not necessarily = to center of gravity because tire frictional forces)</t>
  </si>
  <si>
    <t>Distance between front two tires</t>
  </si>
  <si>
    <t>distance from front tires to back tires</t>
  </si>
  <si>
    <t>Static Margin (in)</t>
  </si>
  <si>
    <t>Neutral Steering Point (in)</t>
  </si>
  <si>
    <t>Problem 2 (slipping)</t>
  </si>
  <si>
    <t>Problem 3 (nosedive)</t>
  </si>
  <si>
    <t>Problem 4 (self-straightening)</t>
  </si>
  <si>
    <t>(K) Understeer Gradiant</t>
  </si>
  <si>
    <t>Minimum required Turning Radius (in)</t>
  </si>
  <si>
    <t>Track Width (in)</t>
  </si>
  <si>
    <t>Distance to Center of Front Tires from VERY Front (in)</t>
  </si>
  <si>
    <t>Distance to Center of Mass from Front (in)</t>
  </si>
  <si>
    <t>Total Car length (bumper to bumper) (in)</t>
  </si>
  <si>
    <t>Force of Turn (lb)</t>
  </si>
  <si>
    <t>Est. Tire Rolling Resistance</t>
  </si>
  <si>
    <t>Cornering Stiffness Front tires (lb/deg)</t>
  </si>
  <si>
    <t>Cornering Stiffness Back tire (lb/deg)</t>
  </si>
  <si>
    <t>Front Slip Angles</t>
  </si>
  <si>
    <t>Rear Slip Angles</t>
  </si>
  <si>
    <t>Necessary Steering Angle (deg)</t>
  </si>
  <si>
    <t xml:space="preserve">Similar to Static Margn, This value is acceptible if positive (understeer), best if zero (neutralsteer), bad if negative (oversteer)! (This calculation concerns problem 2)  </t>
  </si>
  <si>
    <t xml:space="preserve">Distance FROM Center of Gravity TO Neutral Steering point, measuring towards Back of car is positive. This value is acceptible if positive (understeer), best if zero (neutralsteer), bad if negative (oversteer)! (This calculation concerns problem 2)  </t>
  </si>
  <si>
    <r>
      <t xml:space="preserve">Critical Velocity of That Particular Turn </t>
    </r>
    <r>
      <rPr>
        <b/>
        <sz val="12"/>
        <color indexed="10"/>
        <rFont val="Arial"/>
        <family val="2"/>
      </rPr>
      <t>(mph)</t>
    </r>
  </si>
  <si>
    <r>
      <t xml:space="preserve">Maximum Velocity at which this turn is taken </t>
    </r>
    <r>
      <rPr>
        <b/>
        <sz val="12"/>
        <color indexed="10"/>
        <rFont val="Arial"/>
        <family val="2"/>
      </rPr>
      <t>(mph)</t>
    </r>
  </si>
  <si>
    <t>Rolling or tipping over during a turn</t>
  </si>
  <si>
    <t>Problem 1 (tipping)</t>
  </si>
  <si>
    <r>
      <t>(</t>
    </r>
    <r>
      <rPr>
        <b/>
        <sz val="12"/>
        <rFont val="Symbol"/>
        <family val="1"/>
        <charset val="2"/>
      </rPr>
      <t>m</t>
    </r>
    <r>
      <rPr>
        <b/>
        <sz val="12"/>
        <rFont val="Arial"/>
        <family val="2"/>
      </rPr>
      <t>c)Coefficient of Lateral Friction Front</t>
    </r>
  </si>
  <si>
    <r>
      <t>(</t>
    </r>
    <r>
      <rPr>
        <b/>
        <sz val="12"/>
        <rFont val="Symbol"/>
        <family val="1"/>
        <charset val="2"/>
      </rPr>
      <t>m</t>
    </r>
    <r>
      <rPr>
        <b/>
        <sz val="12"/>
        <rFont val="Arial"/>
        <family val="2"/>
      </rPr>
      <t>c)Coefficient of Lateral Friction Back</t>
    </r>
  </si>
  <si>
    <t>Any more force applied past this will cause slipping (of the front) instead of tipping!</t>
  </si>
  <si>
    <t>G force At which tipping will occur</t>
  </si>
  <si>
    <r>
      <t xml:space="preserve">Tipping occurs when the lateral acceleration (ay) is greater than this number.  It cant possible occur if this number is greater than </t>
    </r>
    <r>
      <rPr>
        <sz val="10"/>
        <rFont val="Symbol"/>
        <family val="1"/>
        <charset val="2"/>
      </rPr>
      <t>m</t>
    </r>
    <r>
      <rPr>
        <sz val="10"/>
        <rFont val="Arial"/>
        <family val="2"/>
      </rPr>
      <t>c min because the car will slip before it tips.  However, if you are turning on a very frictiony surface where the wheels could grap the ground, then you could still flip.  This relates to problem 1</t>
    </r>
  </si>
  <si>
    <r>
      <t xml:space="preserve">Note that lateral acceleration can never be greater than which ever above number is smaller, we'll call it </t>
    </r>
    <r>
      <rPr>
        <b/>
        <sz val="10"/>
        <color indexed="10"/>
        <rFont val="Symbol"/>
        <family val="1"/>
        <charset val="2"/>
      </rPr>
      <t>m</t>
    </r>
    <r>
      <rPr>
        <b/>
        <sz val="10"/>
        <color indexed="10"/>
        <rFont val="Arial"/>
        <family val="2"/>
      </rPr>
      <t xml:space="preserve">c min. </t>
    </r>
  </si>
  <si>
    <t>Tipping forces</t>
  </si>
  <si>
    <t>Weight Transfer during Braking (problem 3)</t>
  </si>
  <si>
    <t>Basically, you have to be turning really hard, while going simewhat fast to flip this car (it would be safe for normal driving)</t>
  </si>
  <si>
    <t>Sum of Forces On Rear during .5G Brake</t>
  </si>
  <si>
    <t>Sum of Forces On Rear during 1G Brake</t>
  </si>
  <si>
    <t xml:space="preserve">Your safe as long as this is negative, which means that the sum of all forces is pointing down which keeps the tires on the ground. This is the solution to Problem 3   </t>
  </si>
  <si>
    <t>Force on Rear tire at Rest</t>
  </si>
  <si>
    <r>
      <t>(a</t>
    </r>
    <r>
      <rPr>
        <b/>
        <sz val="9"/>
        <rFont val="Arial"/>
        <family val="2"/>
      </rPr>
      <t>y</t>
    </r>
    <r>
      <rPr>
        <b/>
        <sz val="12"/>
        <rFont val="Arial"/>
        <family val="2"/>
      </rPr>
      <t>) Lateral Acceleration (G's)</t>
    </r>
  </si>
  <si>
    <t>Tipping Safety Factor</t>
  </si>
  <si>
    <t>Results &gt;&gt;&gt;&gt;&gt;</t>
  </si>
  <si>
    <t>Applied Vertical Force on Rear Wheel during .5G Brake</t>
  </si>
  <si>
    <t>Applied Vertical Force on Rear Wheel during 1G Brake</t>
  </si>
  <si>
    <t>Ratio weight transferred under braking 
static weight on rear (.5G force)</t>
  </si>
  <si>
    <t>Ratio weight transferred under braking 
static weight on rear (1G force)</t>
  </si>
  <si>
    <t>This thing will never ever nose dive because its Center of Gravity is so low and because it is so long</t>
  </si>
  <si>
    <t>Nose Dive Safety Factor</t>
  </si>
  <si>
    <t>How fast you can take the specific turn without rolling.  Has to do with turning directional instability</t>
  </si>
  <si>
    <t>Safety Factor for Critical Velocity</t>
  </si>
  <si>
    <t>How far you will have to turn the tires to get the vehicle to turn</t>
  </si>
  <si>
    <t>Basically, you have to be turning really hard, while going somewhat fast to flip this car (it would be safe for normal driving).  This is because the car would want to slide before tipping</t>
  </si>
  <si>
    <t>How many degrees you have to turn the tires from the forward position to get the vehicle to turn</t>
  </si>
  <si>
    <t xml:space="preserve"> (36% is Absolute MAX, 33% is pushing it)  This calculation is very important, will help determine results of car stability with all 4 problems.  Anything below 33% is SAFE</t>
  </si>
  <si>
    <t>Car must be able to turn a figure eight with a 6 meter radius.  To push the limits, I estimated 5.5 meters. Note 1m is 39.37 in</t>
  </si>
  <si>
    <t>The cas has to complete the turn in 9 sec, so I estimated 8 sec</t>
  </si>
  <si>
    <t>we have very low rollng resistance tires</t>
  </si>
  <si>
    <t>At this speed (for this specific turn) the car will be come directionally unstable, which is BAD.  BUT until this speed, the car is fine.</t>
  </si>
  <si>
    <r>
      <t xml:space="preserve">Critical Velocity of Turn </t>
    </r>
    <r>
      <rPr>
        <b/>
        <sz val="12"/>
        <color indexed="10"/>
        <rFont val="Arial"/>
        <family val="2"/>
      </rPr>
      <t>(mph)</t>
    </r>
  </si>
  <si>
    <t>SIDE IMPACT OF WIND GUST</t>
  </si>
  <si>
    <t>Beafuord Scale 7</t>
  </si>
  <si>
    <t>35 mph (speed at which they issue warnings)</t>
  </si>
  <si>
    <t>Wind Speed (mph)</t>
  </si>
  <si>
    <t>Stongest Wind gust Car would have to endure</t>
  </si>
  <si>
    <t>Wind Pressure (psi)</t>
  </si>
  <si>
    <t>D</t>
  </si>
  <si>
    <t xml:space="preserve"> </t>
  </si>
  <si>
    <t>Kinematic Viscosity (in^2/sec)</t>
  </si>
  <si>
    <t>Total Length of Car</t>
  </si>
  <si>
    <t>Total Width of Car (BODY only)</t>
  </si>
  <si>
    <t>this is for air at ground level, 70 deg F or 21 deg C</t>
  </si>
  <si>
    <t>Frontal Area Reynolds number</t>
  </si>
  <si>
    <t>Side Area Reynolds number</t>
  </si>
  <si>
    <r>
      <t xml:space="preserve">Projected </t>
    </r>
    <r>
      <rPr>
        <b/>
        <sz val="12"/>
        <color indexed="57"/>
        <rFont val="Arial"/>
        <family val="2"/>
      </rPr>
      <t xml:space="preserve">Front Area of Panels </t>
    </r>
    <r>
      <rPr>
        <b/>
        <sz val="12"/>
        <rFont val="Arial"/>
        <family val="2"/>
      </rPr>
      <t>ONLY (in^2)</t>
    </r>
  </si>
  <si>
    <r>
      <t xml:space="preserve">Projected </t>
    </r>
    <r>
      <rPr>
        <b/>
        <sz val="12"/>
        <color indexed="57"/>
        <rFont val="Arial"/>
        <family val="2"/>
      </rPr>
      <t>Front Area of Car</t>
    </r>
    <r>
      <rPr>
        <b/>
        <sz val="12"/>
        <rFont val="Arial"/>
        <family val="2"/>
      </rPr>
      <t xml:space="preserve"> ONLY (in^2)</t>
    </r>
  </si>
  <si>
    <r>
      <t xml:space="preserve">Projected </t>
    </r>
    <r>
      <rPr>
        <b/>
        <sz val="12"/>
        <color indexed="57"/>
        <rFont val="Arial"/>
        <family val="2"/>
      </rPr>
      <t>Side Area of Car</t>
    </r>
    <r>
      <rPr>
        <b/>
        <sz val="12"/>
        <rFont val="Arial"/>
        <family val="2"/>
      </rPr>
      <t xml:space="preserve"> ONLY (in^2)</t>
    </r>
  </si>
  <si>
    <r>
      <t xml:space="preserve">Projected </t>
    </r>
    <r>
      <rPr>
        <b/>
        <sz val="12"/>
        <color indexed="53"/>
        <rFont val="Arial"/>
        <family val="2"/>
      </rPr>
      <t>Side Area of Panels</t>
    </r>
    <r>
      <rPr>
        <b/>
        <sz val="12"/>
        <rFont val="Arial"/>
        <family val="2"/>
      </rPr>
      <t xml:space="preserve"> ONLY (in^2)</t>
    </r>
  </si>
  <si>
    <r>
      <t xml:space="preserve">MAX Projected </t>
    </r>
    <r>
      <rPr>
        <b/>
        <sz val="12"/>
        <color indexed="53"/>
        <rFont val="Arial"/>
        <family val="2"/>
      </rPr>
      <t>Drag Coefficient Panels ONLY Side</t>
    </r>
  </si>
  <si>
    <r>
      <t>Projected Drag Coefficient</t>
    </r>
    <r>
      <rPr>
        <b/>
        <sz val="12"/>
        <color indexed="57"/>
        <rFont val="Arial"/>
        <family val="2"/>
      </rPr>
      <t xml:space="preserve"> CAR ONLY Front</t>
    </r>
  </si>
  <si>
    <r>
      <t xml:space="preserve">Projected Drag Coefficient </t>
    </r>
    <r>
      <rPr>
        <b/>
        <sz val="12"/>
        <color indexed="57"/>
        <rFont val="Arial"/>
        <family val="2"/>
      </rPr>
      <t>CAR ONLY Side</t>
    </r>
  </si>
  <si>
    <r>
      <t xml:space="preserve">Projected Drag Coefficient </t>
    </r>
    <r>
      <rPr>
        <b/>
        <sz val="12"/>
        <color indexed="57"/>
        <rFont val="Arial"/>
        <family val="2"/>
      </rPr>
      <t>Panels ONLY Front</t>
    </r>
  </si>
  <si>
    <t>Degrees from level that Panels are Tilted (side view)(deg)</t>
  </si>
  <si>
    <t>Degrees from level that Panels are Tilted (front view) (deg)</t>
  </si>
  <si>
    <t>Known</t>
  </si>
  <si>
    <t>note that this is NOT maximised at 90, because of the width of the panels</t>
  </si>
  <si>
    <t>Driving Frontal Wind Pressure (psi)</t>
  </si>
  <si>
    <t>this is for aerodynamic purposes only, its is estimated for the car travelng 60 mph</t>
  </si>
  <si>
    <r>
      <t xml:space="preserve">Gust Force Magnitude On </t>
    </r>
    <r>
      <rPr>
        <b/>
        <sz val="12"/>
        <color indexed="57"/>
        <rFont val="Arial"/>
        <family val="2"/>
      </rPr>
      <t>Car Front Only</t>
    </r>
  </si>
  <si>
    <r>
      <t xml:space="preserve">Gust Force Magnitude On </t>
    </r>
    <r>
      <rPr>
        <b/>
        <sz val="12"/>
        <color indexed="57"/>
        <rFont val="Arial"/>
        <family val="2"/>
      </rPr>
      <t>Car Side Only</t>
    </r>
  </si>
  <si>
    <r>
      <t xml:space="preserve">Gust Force Magnitude On </t>
    </r>
    <r>
      <rPr>
        <b/>
        <sz val="12"/>
        <color indexed="57"/>
        <rFont val="Arial"/>
        <family val="2"/>
      </rPr>
      <t>PANELS Front Only</t>
    </r>
  </si>
  <si>
    <r>
      <t xml:space="preserve">Gust Force Magnitude On </t>
    </r>
    <r>
      <rPr>
        <b/>
        <sz val="12"/>
        <color indexed="53"/>
        <rFont val="Arial"/>
        <family val="2"/>
      </rPr>
      <t>PANELS Side Only</t>
    </r>
  </si>
  <si>
    <t>Driving Full Speed Force Magnitude On Entire Car Front</t>
  </si>
  <si>
    <t>We would proably quit driving anyway if it started blowing this hard anyway</t>
  </si>
  <si>
    <r>
      <t xml:space="preserve">Location of Gust Force On </t>
    </r>
    <r>
      <rPr>
        <b/>
        <sz val="12"/>
        <color indexed="57"/>
        <rFont val="Arial"/>
        <family val="2"/>
      </rPr>
      <t>Car Front Only</t>
    </r>
  </si>
  <si>
    <r>
      <t xml:space="preserve">Location of Gust ForceOn </t>
    </r>
    <r>
      <rPr>
        <b/>
        <sz val="12"/>
        <color indexed="57"/>
        <rFont val="Arial"/>
        <family val="2"/>
      </rPr>
      <t>Car Side Only</t>
    </r>
  </si>
  <si>
    <r>
      <t xml:space="preserve">Location of Gust ForceOn </t>
    </r>
    <r>
      <rPr>
        <b/>
        <sz val="12"/>
        <color indexed="57"/>
        <rFont val="Arial"/>
        <family val="2"/>
      </rPr>
      <t>PANELS Front Only</t>
    </r>
  </si>
  <si>
    <r>
      <t xml:space="preserve">Location of Gust Force On </t>
    </r>
    <r>
      <rPr>
        <b/>
        <sz val="12"/>
        <color indexed="53"/>
        <rFont val="Arial"/>
        <family val="2"/>
      </rPr>
      <t>PANELS Side Only</t>
    </r>
  </si>
  <si>
    <t>This is in units of inches from the ground</t>
  </si>
  <si>
    <t>should be a little smaller because the body blocks some wind</t>
  </si>
  <si>
    <t>Safety Factor</t>
  </si>
  <si>
    <t>This is in units of inches from the ground, it is located at the center of mass of the solar panels</t>
  </si>
  <si>
    <t>Critical force needed at this location to tip the car (crooked)</t>
  </si>
  <si>
    <t>Special angle for calculations (deg)</t>
  </si>
  <si>
    <t>angle that crooked force acts on</t>
  </si>
  <si>
    <t>cos(</t>
  </si>
  <si>
    <t>Note that since this force is lower, the car will tip like a 3 wheeler as opposed to rolling like a normal car.</t>
  </si>
  <si>
    <t>these values are high-ball estimations</t>
  </si>
  <si>
    <t>Axial Tip Line</t>
  </si>
  <si>
    <t>Critical force needed at this location to tip the car (Axial)</t>
  </si>
  <si>
    <t>This is the lowest critical force necessary for tipping divided by the force applied.  Car is safe if this is greater than 1 becase this is the absolute MAX force applied probable.</t>
  </si>
  <si>
    <r>
      <rPr>
        <b/>
        <u/>
        <sz val="12"/>
        <rFont val="Arial"/>
        <family val="2"/>
      </rPr>
      <t>Track Width</t>
    </r>
    <r>
      <rPr>
        <b/>
        <sz val="12"/>
        <rFont val="Arial"/>
        <family val="2"/>
      </rPr>
      <t xml:space="preserve"> (in)</t>
    </r>
  </si>
  <si>
    <t>NOTE: This analysis is useful only if the car has a 6 m^2 solar array, with 14" low friction tires</t>
  </si>
  <si>
    <r>
      <t xml:space="preserve">Distance to Center of </t>
    </r>
    <r>
      <rPr>
        <b/>
        <u/>
        <sz val="12"/>
        <rFont val="Arial"/>
        <family val="2"/>
      </rPr>
      <t>Rear</t>
    </r>
    <r>
      <rPr>
        <b/>
        <sz val="12"/>
        <rFont val="Arial"/>
        <family val="2"/>
      </rPr>
      <t xml:space="preserve"> Tires from VERY Back (in)</t>
    </r>
  </si>
  <si>
    <r>
      <t xml:space="preserve">Distance to Center of </t>
    </r>
    <r>
      <rPr>
        <b/>
        <u/>
        <sz val="12"/>
        <rFont val="Arial"/>
        <family val="2"/>
      </rPr>
      <t>Front</t>
    </r>
    <r>
      <rPr>
        <b/>
        <sz val="12"/>
        <rFont val="Arial"/>
        <family val="2"/>
      </rPr>
      <t xml:space="preserve"> Tires from VERY Front (in)</t>
    </r>
  </si>
  <si>
    <t>Roll cage/Windshield</t>
  </si>
  <si>
    <t>Driver &amp; ballast</t>
  </si>
  <si>
    <t>Including Suspension, tires and motor (and extra at CM)</t>
  </si>
  <si>
    <t>Slipping forces</t>
  </si>
  <si>
    <t>Rear Slip Angle</t>
  </si>
  <si>
    <t>everything</t>
  </si>
  <si>
    <t>no driver</t>
  </si>
  <si>
    <t>Center of Mass Estimate</t>
  </si>
  <si>
    <t>With no Driver</t>
  </si>
  <si>
    <t>∑Mass (lbs)</t>
  </si>
  <si>
    <t>Z-direction                               (0" at ground)</t>
  </si>
  <si>
    <t>Car Dimension Estimate</t>
  </si>
  <si>
    <t>Dynamic Results</t>
  </si>
  <si>
    <t>Center of Mass Results</t>
  </si>
  <si>
    <t>Car Slipping Analysis</t>
  </si>
  <si>
    <t>Car Tipping Analysis</t>
  </si>
  <si>
    <t>Car Nose-Diving Analysis</t>
  </si>
  <si>
    <t>Radius of TIRE (from ground in inches)</t>
  </si>
  <si>
    <t>Ground Clearance of Car (in)</t>
  </si>
  <si>
    <t>ignore this, it’s just a calculation</t>
  </si>
  <si>
    <t>NOTE: Every cell in PINK is a value YOU input</t>
  </si>
  <si>
    <t>Every value in light BLUE is an output value!</t>
  </si>
  <si>
    <t>Safety Factors are in Yellow</t>
  </si>
  <si>
    <t>Basic Static Analysis</t>
  </si>
  <si>
    <t>Solar Panels &amp; Panel Support Frame</t>
  </si>
  <si>
    <t>Tritium Controller (motor controler)</t>
  </si>
  <si>
    <t>Roll cage &amp; Windshield</t>
  </si>
  <si>
    <t>Driver &amp; Ballast</t>
  </si>
  <si>
    <t>Body – Carbon Fiber outer surface</t>
  </si>
  <si>
    <t>Front tires, Suspension, brakes steering</t>
  </si>
  <si>
    <t>1 meters = # inches</t>
  </si>
  <si>
    <t>1 in/s to # mph</t>
  </si>
  <si>
    <t>1 rad = # deg</t>
  </si>
  <si>
    <t>Conversion Factors</t>
  </si>
  <si>
    <t>Gravity in ft/sec</t>
  </si>
  <si>
    <r>
      <rPr>
        <b/>
        <sz val="12"/>
        <rFont val="Arial"/>
        <family val="2"/>
      </rPr>
      <t xml:space="preserve">Your safe as long as this is negative, </t>
    </r>
    <r>
      <rPr>
        <sz val="12"/>
        <rFont val="Arial"/>
        <family val="2"/>
      </rPr>
      <t>which means that the sum of all forces is pointing down which keeps the tires on the ground.</t>
    </r>
  </si>
  <si>
    <r>
      <rPr>
        <b/>
        <sz val="12"/>
        <rFont val="Arial"/>
        <family val="2"/>
      </rPr>
      <t xml:space="preserve">Your safe as long as this is negative, </t>
    </r>
    <r>
      <rPr>
        <sz val="12"/>
        <rFont val="Arial"/>
        <family val="2"/>
      </rPr>
      <t xml:space="preserve">which means that the sum of all forces is pointing down which keeps the tires on the ground. </t>
    </r>
  </si>
  <si>
    <r>
      <t xml:space="preserve">^^Tipping occurs when the lateral acceleration (ay) is greater than this number.  It cant possibly occur if this number is greater than </t>
    </r>
    <r>
      <rPr>
        <sz val="10"/>
        <rFont val="Symbol"/>
        <family val="1"/>
        <charset val="2"/>
      </rPr>
      <t>m</t>
    </r>
    <r>
      <rPr>
        <sz val="10"/>
        <rFont val="Arial"/>
        <family val="2"/>
      </rPr>
      <t xml:space="preserve">c </t>
    </r>
    <r>
      <rPr>
        <sz val="11"/>
        <rFont val="Arial"/>
        <family val="2"/>
      </rPr>
      <t xml:space="preserve">min </t>
    </r>
    <r>
      <rPr>
        <sz val="12"/>
        <rFont val="Arial"/>
        <family val="2"/>
      </rPr>
      <t xml:space="preserve">because the car will slip before it tips.  However, if you are turning on a very frictiony surface where the wheels could grap the ground, then you could still tip (flip). </t>
    </r>
  </si>
  <si>
    <t>∑XM</t>
  </si>
  <si>
    <t>∑YM</t>
  </si>
  <si>
    <t xml:space="preserve">Similar to Static Margn, This value is acceptible if positive (understeer), best if zero (neutralsteer), bad if negative (oversteer)!  </t>
  </si>
  <si>
    <t>Distance FROM Center of Gravity TO Neutral Steering point, measuring towards Back of car is positive. This value is acceptible if positive (understeer), best if zero (neutralsteer), bad if negative (oversteer)!</t>
  </si>
  <si>
    <t xml:space="preserve"> (36% is Absolute MAX, 33% is pushing it)  This calculation is very important</t>
  </si>
  <si>
    <t>Car Roll Center Analysis</t>
  </si>
  <si>
    <t>(h) height of roll center RELATIVE TO CENTER OF GRAVITY</t>
  </si>
  <si>
    <t>(d) height of roll center RELATIVE TO THE GROUND (in)</t>
  </si>
  <si>
    <t>Note, force of turn also equals (ay) times the weight of the car</t>
  </si>
  <si>
    <t>Note, the tire on the inside of the turn has the same magnitude of fore but in the vertical direction!</t>
  </si>
  <si>
    <t>Force on Front tire at rest (lbs)</t>
  </si>
  <si>
    <t>Vertical Lifting Force on Each Front Tire during turn (lbs)</t>
  </si>
  <si>
    <t>Roll Center Location Induced Tipping Safety Factor</t>
  </si>
  <si>
    <r>
      <t xml:space="preserve">Since  </t>
    </r>
    <r>
      <rPr>
        <sz val="10"/>
        <rFont val="Symbol"/>
        <family val="1"/>
        <charset val="2"/>
      </rPr>
      <t>m</t>
    </r>
    <r>
      <rPr>
        <sz val="10"/>
        <rFont val="Arial"/>
        <family val="2"/>
      </rPr>
      <t>c min  Is smaller than the G force necessary for tipping. Our car cannot tip (theoritically), the car could always hit an awkard sot in the road and flip it though</t>
    </r>
  </si>
  <si>
    <t xml:space="preserve">At this speed (for this specific turn) the car will be come directionally unstable, which is BAD (its slips out of control).  BUT until this speed, the car is fine. </t>
  </si>
  <si>
    <t>MAX Vertical Force on a Front Tire (lbs)</t>
  </si>
  <si>
    <t>MEAN Lateral Force on front tires (lbs)</t>
  </si>
  <si>
    <t>This is useful when calculating the desired K value of our suspension system.</t>
  </si>
  <si>
    <t>MIN Vertical Force on a Front Tire (lbs)</t>
  </si>
  <si>
    <t>Roll Center Location Induced Slipping Safety Factor</t>
  </si>
  <si>
    <t>MAX Lateral Force on front tire (outside tire) (lbs)</t>
  </si>
  <si>
    <t>There is more lateral force on the outside tire because the weight transfer of the car caused it to have a higher normal force which creates more lateral force due to grip</t>
  </si>
  <si>
    <t xml:space="preserve">The roll center location is not going to cause this baby to tip, (the extra forces will be useful when analyzing the suspension system) (this saftey factor overwrites the above calculated tipping safety factor) </t>
  </si>
  <si>
    <t>Note the calculated tipping safety factor overwrites this calculation</t>
  </si>
  <si>
    <t>Safety Factor for Critical Velocity (slipping)</t>
  </si>
  <si>
    <t>If the car were to take this turn at its critical velocity it would slip out of control</t>
  </si>
  <si>
    <t>Ignore the calculations at right:</t>
  </si>
  <si>
    <t>This is a SIMULATED FIGURE 8 with a 7 meter radius. The cas has to complete the turn in 18 sec to pass. (the old car did it in 13.4 sec for the whole 8) (the model uses half of the figure 8)</t>
  </si>
  <si>
    <r>
      <t xml:space="preserve">Average Velocity at which this turn is taken </t>
    </r>
    <r>
      <rPr>
        <b/>
        <sz val="12"/>
        <color indexed="10"/>
        <rFont val="Arial"/>
        <family val="2"/>
      </rPr>
      <t>(mph)</t>
    </r>
  </si>
  <si>
    <t xml:space="preserve">Front Left </t>
  </si>
  <si>
    <t>Front Right</t>
  </si>
  <si>
    <t>Back Left</t>
  </si>
  <si>
    <t>Back Right</t>
  </si>
  <si>
    <t xml:space="preserve">FIGURE 8 TEST </t>
  </si>
  <si>
    <t>Total Weight</t>
  </si>
  <si>
    <t>degrees</t>
  </si>
  <si>
    <t>???</t>
  </si>
  <si>
    <t>Car Braking Analysis</t>
  </si>
  <si>
    <t>xx</t>
  </si>
  <si>
    <t>scrub radius</t>
  </si>
  <si>
    <t>Gravity in ft/sec^2</t>
  </si>
  <si>
    <t>Tipping Safety Factor (tipping across normal axis)</t>
  </si>
  <si>
    <t>G force from critical velocity (G's)</t>
  </si>
  <si>
    <r>
      <t xml:space="preserve">Critical Velocity of Turn (mph) </t>
    </r>
    <r>
      <rPr>
        <b/>
        <sz val="12"/>
        <color indexed="10"/>
        <rFont val="Arial"/>
        <family val="2"/>
      </rPr>
      <t>(for tipping)</t>
    </r>
  </si>
  <si>
    <r>
      <t xml:space="preserve">Critical Velocity of Turn (mph) </t>
    </r>
    <r>
      <rPr>
        <b/>
        <sz val="12"/>
        <color indexed="10"/>
        <rFont val="Arial"/>
        <family val="2"/>
      </rPr>
      <t>(for slipping)</t>
    </r>
  </si>
  <si>
    <t xml:space="preserve">Slipping Safety Factor </t>
  </si>
  <si>
    <t xml:space="preserve">If the car were to take this turn at its critical velocity it would tip.  (but it would have to be on rails to not slip!) </t>
  </si>
  <si>
    <r>
      <t xml:space="preserve">Note that lateral acceleration can </t>
    </r>
    <r>
      <rPr>
        <sz val="14"/>
        <color rgb="FFFF0000"/>
        <rFont val="Arial"/>
        <family val="2"/>
      </rPr>
      <t>never</t>
    </r>
    <r>
      <rPr>
        <sz val="14"/>
        <rFont val="Arial"/>
        <family val="2"/>
      </rPr>
      <t xml:space="preserve"> be greater than which ever above number is smaller, we'll call it </t>
    </r>
    <r>
      <rPr>
        <sz val="14"/>
        <rFont val="Symbol"/>
        <family val="1"/>
        <charset val="2"/>
      </rPr>
      <t>m</t>
    </r>
    <r>
      <rPr>
        <sz val="14"/>
        <rFont val="Arial"/>
        <family val="2"/>
      </rPr>
      <t>c min.   This is because at this g force it would sliptoo much to possibly tip, regardless of wheather or not the driver is in control.</t>
    </r>
  </si>
  <si>
    <t>If the car were to take this turn at its critical velocity it would slip too much to drive safely. (unless you’re a badass and can drift)</t>
  </si>
  <si>
    <t>Assume car brakes are locked up&gt;|?</t>
  </si>
  <si>
    <t>Stopping distance and necessary brake pad orce and driver dorce</t>
  </si>
  <si>
    <t>Resulting force on suspension A-arms</t>
  </si>
  <si>
    <r>
      <t>(a</t>
    </r>
    <r>
      <rPr>
        <b/>
        <sz val="9"/>
        <rFont val="Arial"/>
        <family val="2"/>
      </rPr>
      <t>y</t>
    </r>
    <r>
      <rPr>
        <b/>
        <sz val="12"/>
        <rFont val="Arial"/>
        <family val="2"/>
      </rPr>
      <t>) Lateral Acceleration on outer tire (G's)</t>
    </r>
  </si>
  <si>
    <t>NOTE: for our car, the optimised roll center is somewhere between 0 and -18.  We increase our turning capabilites as be decrrease our rc but we also make the car more likely to tip</t>
  </si>
  <si>
    <t>NOTE:  THIS can be assumed to be the same as calculated above, but in realk life, the realationship between increased vertical load and lateral force is not linera (so the slipping safety factor is a little less than we think if we have a lot fo weight transfer.</t>
  </si>
  <si>
    <t xml:space="preserve">WE WANT TO MINIMIZE LATERAL WEIGHT TRANSFER&gt; But we dont want the roll axis to poit up or the rear end ot he car will have more twisting fore and it only has one tire! BAD. WE can also minimize body roll by making the springs stiffer than necessary.  Note, choosing the roll center to be low (below ground) Causes us to have a LOWER factor of safety for vehicle .The proper placement of the roll center puts harder forces on the car (increasing the need for stiffer springs) but will allow the car to take tighter turns without losing control. This is because with a low roll center there will be a higher maximum' reactionary lateral force on the tire patch, which will allow the car to  i Note Roll center of Rear tire is at ground level, so the lateral force from the tire has no moment arm and the result is greter vertical forces on the tires.     TRUE:  We want the roll axis to point DOWN in the front so that the weight transfer of the car during a turn puts more weight in the front of the car causing it to understeer (a safe reaction).  TRUE: If the RC is too low, the car tips, if it is too high (making the roll axis point up in front) it will oversteer and suffer from roll-steer. TRUE our three-wheeled vehicle design cannot not suffer from roll steer, making the RC a little less important that normal.  TRUE: The old car suffers from self steering because of the dual rear swing arm suspension (the x-axis length of the suspension changes during a turn causing the rear of the vehicle to turn INTO the turn) SOULTION: Choose RC slightly below ground to help minimize risk of the car tipping over (note it tips over the crooked axis, not normal axis), the downward angle roll axis causes a little weight transfer in the understeer direction understeer which is acceptible.  We will counter the body roll with SLIGHTLY stiffer springs but not significantly stiffer because that can cause slipping. Note oversteer is more dangerous to a 3 wheeled vehicle than to a 4 wheeled vehicle.  If our car understeers too much we can move weight to the back to fix it, but you should never try to change the rc.  </t>
  </si>
  <si>
    <t xml:space="preserve">Quick steering response has nothing to do with the number of wheels or how they are configured. It is a byproduct of reduced mass and low polar moment of inertia. A typical three-wheeler is lighter and has approximately 30 percent less polar moment than a comparable four wheel design. </t>
  </si>
  <si>
    <t>&gt;&gt;&gt;&gt;&gt;&gt;&gt;&gt;</t>
  </si>
  <si>
    <t>Torsion Test is important (we don’t want the frame to twist because it causes body roll, this is actually an advantage of the 3 wheels over 4)</t>
  </si>
  <si>
    <t>Polar Moment of Inertia Analysis</t>
  </si>
  <si>
    <t>This the the front clearance, the back is much higher</t>
  </si>
  <si>
    <t>Actual Maximum Turning Radius (in)</t>
  </si>
  <si>
    <t>Weight Distribuion Test (weight in lbs)</t>
  </si>
  <si>
    <t>Weight Distribuion Test (weight %)</t>
  </si>
  <si>
    <t>X-direction                               (0" at center)</t>
  </si>
  <si>
    <t>x-bar (0" at center)</t>
  </si>
  <si>
    <t>y-bar (0" at back)</t>
  </si>
  <si>
    <t>z-bar (0" at ground)</t>
  </si>
  <si>
    <t>WheelBase</t>
  </si>
  <si>
    <t>angle of CG h measurement (deg)</t>
  </si>
  <si>
    <t>est Z bar = 23</t>
  </si>
  <si>
    <t>Neutral Steering Point (in from back)</t>
  </si>
  <si>
    <t>Y-direction                               (0" at front)</t>
  </si>
  <si>
    <t>Total Car length (Front bumper to  back of rear tire) (in)</t>
  </si>
  <si>
    <t>Distance to Center of Mass from Rear (in)</t>
  </si>
  <si>
    <r>
      <t xml:space="preserve">% Weight on </t>
    </r>
    <r>
      <rPr>
        <b/>
        <sz val="12"/>
        <color rgb="FFFF0000"/>
        <rFont val="Arial"/>
        <family val="2"/>
      </rPr>
      <t xml:space="preserve">Each </t>
    </r>
    <r>
      <rPr>
        <b/>
        <sz val="12"/>
        <rFont val="Arial"/>
        <family val="2"/>
      </rPr>
      <t>Front Tire</t>
    </r>
  </si>
  <si>
    <r>
      <t xml:space="preserve">Distance to Center of </t>
    </r>
    <r>
      <rPr>
        <b/>
        <u/>
        <sz val="12"/>
        <rFont val="Arial"/>
        <family val="2"/>
      </rPr>
      <t>Rear</t>
    </r>
    <r>
      <rPr>
        <b/>
        <sz val="12"/>
        <rFont val="Arial"/>
        <family val="2"/>
      </rPr>
      <t xml:space="preserve"> Suspension from VERY Back (in)</t>
    </r>
  </si>
  <si>
    <t>% Weight on Each Rear Tire</t>
  </si>
  <si>
    <t>Total Car Length in Meters (5m is max)</t>
  </si>
  <si>
    <t>Center of Mass</t>
  </si>
  <si>
    <t>Distance from Longitudinal axis                              (0" at center)</t>
  </si>
  <si>
    <t>Number of Parts</t>
  </si>
  <si>
    <t>Cornering Stiffness Back tires (lb/deg)</t>
  </si>
  <si>
    <t>NOTE:  THIS can be assumed to be the same as calculated above, but in real life, the realationship between increased vertical load and lateral force is not linera (so the slipping safety factor is a little less than we think if we have a lot fo weight transfer.</t>
  </si>
  <si>
    <t>NOTE: Every cell in PINK is USER INPUT</t>
  </si>
  <si>
    <t>Every value in light BLUE is a calculation 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</si>
</sst>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
    <numFmt numFmtId="165" formatCode="0.0000"/>
    <numFmt numFmtId="166" formatCode="0.000"/>
    <numFmt numFmtId="167" formatCode="0.0"/>
  </numFmts>
  <fonts count="33" x14ac:knownFonts="1">
    <font>
      <sz val="10"/>
      <name val="Arial"/>
      <family val="2"/>
    </font>
    <font>
      <b/>
      <sz val="10"/>
      <name val="Arial"/>
      <family val="2"/>
    </font>
    <font>
      <sz val="12"/>
      <name val="Times New Roman"/>
      <family val="1"/>
    </font>
    <font>
      <sz val="11"/>
      <name val="Arial"/>
      <family val="2"/>
    </font>
    <font>
      <sz val="12"/>
      <name val="Arial"/>
      <family val="2"/>
    </font>
    <font>
      <b/>
      <u/>
      <sz val="12"/>
      <name val="Arial"/>
      <family val="2"/>
    </font>
    <font>
      <sz val="11"/>
      <name val="Tahoma"/>
      <family val="2"/>
    </font>
    <font>
      <b/>
      <sz val="11"/>
      <name val="Arial"/>
      <family val="2"/>
    </font>
    <font>
      <b/>
      <sz val="12"/>
      <name val="Arial"/>
      <family val="2"/>
    </font>
    <font>
      <b/>
      <sz val="18"/>
      <name val="Arial"/>
      <family val="2"/>
    </font>
    <font>
      <b/>
      <sz val="12"/>
      <color indexed="10"/>
      <name val="Arial"/>
      <family val="2"/>
    </font>
    <font>
      <b/>
      <sz val="12"/>
      <name val="Symbol"/>
      <family val="1"/>
      <charset val="2"/>
    </font>
    <font>
      <sz val="10"/>
      <name val="Symbol"/>
      <family val="1"/>
      <charset val="2"/>
    </font>
    <font>
      <b/>
      <sz val="10"/>
      <color indexed="10"/>
      <name val="Symbol"/>
      <family val="1"/>
      <charset val="2"/>
    </font>
    <font>
      <b/>
      <sz val="10"/>
      <color indexed="10"/>
      <name val="Arial"/>
      <family val="2"/>
    </font>
    <font>
      <sz val="16"/>
      <name val="Arial"/>
      <family val="2"/>
    </font>
    <font>
      <sz val="18"/>
      <name val="Arial"/>
      <family val="2"/>
    </font>
    <font>
      <b/>
      <sz val="9"/>
      <name val="Arial"/>
      <family val="2"/>
    </font>
    <font>
      <b/>
      <sz val="20"/>
      <name val="Arial"/>
      <family val="2"/>
    </font>
    <font>
      <b/>
      <sz val="12"/>
      <color indexed="57"/>
      <name val="Arial"/>
      <family val="2"/>
    </font>
    <font>
      <b/>
      <sz val="12"/>
      <color indexed="53"/>
      <name val="Arial"/>
      <family val="2"/>
    </font>
    <font>
      <sz val="14"/>
      <name val="Arial"/>
      <family val="2"/>
    </font>
    <font>
      <sz val="14"/>
      <color rgb="FFFF0000"/>
      <name val="Arial"/>
      <family val="2"/>
    </font>
    <font>
      <b/>
      <sz val="24"/>
      <color rgb="FFFF0000"/>
      <name val="Arial"/>
      <family val="2"/>
    </font>
    <font>
      <b/>
      <sz val="18"/>
      <color rgb="FFFF0000"/>
      <name val="Arial"/>
      <family val="2"/>
    </font>
    <font>
      <b/>
      <sz val="14"/>
      <color rgb="FFFF0000"/>
      <name val="Arial"/>
      <family val="2"/>
    </font>
    <font>
      <b/>
      <sz val="16"/>
      <name val="Arial"/>
      <family val="2"/>
    </font>
    <font>
      <b/>
      <sz val="22"/>
      <name val="Arial"/>
      <family val="2"/>
    </font>
    <font>
      <sz val="12"/>
      <name val="Tahoma"/>
      <family val="2"/>
    </font>
    <font>
      <sz val="20"/>
      <name val="Arial"/>
      <family val="2"/>
    </font>
    <font>
      <sz val="14"/>
      <name val="Symbol"/>
      <family val="1"/>
      <charset val="2"/>
    </font>
    <font>
      <sz val="24"/>
      <name val="Arial"/>
      <family val="2"/>
    </font>
    <font>
      <b/>
      <sz val="12"/>
      <color rgb="FFFF0000"/>
      <name val="Arial"/>
      <family val="2"/>
    </font>
  </fonts>
  <fills count="1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CC0E7"/>
        <bgColor indexed="64"/>
      </patternFill>
    </fill>
    <fill>
      <patternFill patternType="solid">
        <fgColor theme="1"/>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ck">
        <color auto="1"/>
      </left>
      <right style="thin">
        <color indexed="64"/>
      </right>
      <top style="thin">
        <color indexed="64"/>
      </top>
      <bottom style="thin">
        <color indexed="64"/>
      </bottom>
      <diagonal/>
    </border>
    <border>
      <left style="thick">
        <color indexed="64"/>
      </left>
      <right/>
      <top style="thick">
        <color indexed="64"/>
      </top>
      <bottom style="medium">
        <color auto="1"/>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auto="1"/>
      </left>
      <right/>
      <top style="thick">
        <color auto="1"/>
      </top>
      <bottom style="thin">
        <color auto="1"/>
      </bottom>
      <diagonal/>
    </border>
    <border>
      <left/>
      <right/>
      <top style="thin">
        <color indexed="64"/>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thick">
        <color auto="1"/>
      </right>
      <top style="medium">
        <color auto="1"/>
      </top>
      <bottom/>
      <diagonal/>
    </border>
    <border>
      <left style="medium">
        <color auto="1"/>
      </left>
      <right/>
      <top/>
      <bottom style="thick">
        <color auto="1"/>
      </bottom>
      <diagonal/>
    </border>
  </borders>
  <cellStyleXfs count="1">
    <xf numFmtId="0" fontId="0" fillId="0" borderId="0"/>
  </cellStyleXfs>
  <cellXfs count="361">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xf numFmtId="0" fontId="0"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0" fontId="3" fillId="0" borderId="0" xfId="0" applyFont="1" applyBorder="1" applyAlignment="1">
      <alignment horizontal="center"/>
    </xf>
    <xf numFmtId="0" fontId="22" fillId="0" borderId="0" xfId="0" applyFont="1" applyAlignment="1">
      <alignment horizontal="center"/>
    </xf>
    <xf numFmtId="0" fontId="8" fillId="0" borderId="0" xfId="0" applyFont="1" applyAlignment="1">
      <alignment horizontal="center" vertical="center" wrapText="1"/>
    </xf>
    <xf numFmtId="2" fontId="3" fillId="0" borderId="0" xfId="0" applyNumberFormat="1" applyFont="1" applyAlignment="1">
      <alignment horizontal="center"/>
    </xf>
    <xf numFmtId="0" fontId="0" fillId="2" borderId="0" xfId="0" applyFill="1" applyAlignment="1">
      <alignment horizontal="center"/>
    </xf>
    <xf numFmtId="0" fontId="3" fillId="2" borderId="0" xfId="0" applyFont="1" applyFill="1" applyAlignment="1">
      <alignment horizontal="left"/>
    </xf>
    <xf numFmtId="0" fontId="3" fillId="2" borderId="0" xfId="0" applyFont="1" applyFill="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2" fontId="3" fillId="0" borderId="2" xfId="0" applyNumberFormat="1"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3" fillId="0" borderId="4" xfId="0" applyFont="1" applyBorder="1" applyAlignment="1">
      <alignment horizontal="center"/>
    </xf>
    <xf numFmtId="0" fontId="6" fillId="0" borderId="5" xfId="0" applyFont="1" applyBorder="1" applyAlignment="1">
      <alignment horizontal="center"/>
    </xf>
    <xf numFmtId="0" fontId="3" fillId="0" borderId="5" xfId="0" applyFont="1" applyBorder="1" applyAlignment="1">
      <alignment horizontal="center"/>
    </xf>
    <xf numFmtId="2" fontId="3" fillId="0" borderId="5" xfId="0" applyNumberFormat="1" applyFont="1" applyBorder="1" applyAlignment="1">
      <alignment horizontal="center"/>
    </xf>
    <xf numFmtId="0" fontId="6" fillId="0" borderId="6" xfId="0" applyFont="1" applyBorder="1" applyAlignment="1">
      <alignment horizontal="center"/>
    </xf>
    <xf numFmtId="0" fontId="3" fillId="0" borderId="7" xfId="0" applyFont="1" applyBorder="1" applyAlignment="1">
      <alignment horizontal="center"/>
    </xf>
    <xf numFmtId="0" fontId="6" fillId="0" borderId="0" xfId="0" applyFont="1" applyBorder="1" applyAlignment="1">
      <alignment horizontal="center"/>
    </xf>
    <xf numFmtId="2" fontId="3" fillId="0" borderId="0" xfId="0" applyNumberFormat="1" applyFont="1" applyBorder="1" applyAlignment="1">
      <alignment horizontal="center"/>
    </xf>
    <xf numFmtId="0" fontId="6" fillId="0" borderId="8" xfId="0" applyFont="1" applyBorder="1" applyAlignment="1">
      <alignment horizontal="center"/>
    </xf>
    <xf numFmtId="0" fontId="7" fillId="3" borderId="9" xfId="0" applyFont="1" applyFill="1" applyBorder="1" applyAlignment="1">
      <alignment horizontal="center" vertic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22" fillId="0" borderId="9" xfId="0"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center" vertical="top"/>
    </xf>
    <xf numFmtId="0" fontId="0" fillId="3" borderId="0" xfId="0" applyFill="1" applyAlignment="1">
      <alignment horizontal="center" vertical="top" wrapText="1"/>
    </xf>
    <xf numFmtId="0" fontId="1" fillId="3" borderId="0" xfId="0" applyFont="1" applyFill="1" applyAlignment="1">
      <alignment horizontal="center" vertical="top" wrapText="1"/>
    </xf>
    <xf numFmtId="167" fontId="0" fillId="0" borderId="0" xfId="0" applyNumberFormat="1" applyAlignment="1">
      <alignment horizontal="center"/>
    </xf>
    <xf numFmtId="0" fontId="3" fillId="0" borderId="0" xfId="0" applyFont="1" applyBorder="1" applyAlignment="1"/>
    <xf numFmtId="0" fontId="0" fillId="4" borderId="0" xfId="0" applyFill="1" applyAlignment="1">
      <alignment horizontal="center"/>
    </xf>
    <xf numFmtId="0" fontId="4" fillId="4" borderId="0" xfId="0" applyFont="1" applyFill="1" applyAlignment="1">
      <alignment horizontal="center"/>
    </xf>
    <xf numFmtId="0" fontId="23" fillId="0" borderId="0" xfId="0" applyFont="1" applyAlignment="1"/>
    <xf numFmtId="0" fontId="15" fillId="0" borderId="0" xfId="0" applyFont="1" applyAlignment="1">
      <alignment horizontal="center" vertical="center" wrapText="1"/>
    </xf>
    <xf numFmtId="0" fontId="0" fillId="3" borderId="0" xfId="0" applyFill="1" applyAlignment="1">
      <alignment horizontal="center" vertical="top" wrapText="1"/>
    </xf>
    <xf numFmtId="0" fontId="16" fillId="5" borderId="0" xfId="0" applyFont="1" applyFill="1" applyAlignment="1">
      <alignment horizontal="center" wrapText="1"/>
    </xf>
    <xf numFmtId="0" fontId="8" fillId="0" borderId="13" xfId="0" applyFont="1" applyBorder="1" applyAlignment="1">
      <alignment horizontal="center" vertical="center" wrapText="1"/>
    </xf>
    <xf numFmtId="0" fontId="3" fillId="0" borderId="13" xfId="0" applyFont="1" applyBorder="1" applyAlignment="1">
      <alignment horizontal="center"/>
    </xf>
    <xf numFmtId="2" fontId="3" fillId="0" borderId="13" xfId="0" applyNumberFormat="1" applyFont="1" applyBorder="1" applyAlignment="1">
      <alignment horizontal="center"/>
    </xf>
    <xf numFmtId="0" fontId="0" fillId="0" borderId="13" xfId="0" applyBorder="1" applyAlignment="1">
      <alignment horizontal="center"/>
    </xf>
    <xf numFmtId="167" fontId="0" fillId="0" borderId="13" xfId="0" applyNumberFormat="1" applyBorder="1" applyAlignment="1">
      <alignment horizontal="center"/>
    </xf>
    <xf numFmtId="165" fontId="0" fillId="0" borderId="13" xfId="0" applyNumberFormat="1" applyBorder="1" applyAlignment="1">
      <alignment horizontal="center"/>
    </xf>
    <xf numFmtId="0" fontId="0" fillId="4" borderId="13" xfId="0" applyFill="1" applyBorder="1" applyAlignment="1">
      <alignment horizontal="center"/>
    </xf>
    <xf numFmtId="2" fontId="0" fillId="0" borderId="13" xfId="0" applyNumberFormat="1" applyBorder="1" applyAlignment="1">
      <alignment horizontal="center"/>
    </xf>
    <xf numFmtId="166" fontId="0" fillId="0" borderId="13" xfId="0" applyNumberFormat="1" applyBorder="1" applyAlignment="1">
      <alignment horizontal="center"/>
    </xf>
    <xf numFmtId="0" fontId="24" fillId="0" borderId="14" xfId="0" applyFont="1" applyBorder="1" applyAlignment="1"/>
    <xf numFmtId="0" fontId="24" fillId="0" borderId="15" xfId="0" applyFont="1" applyBorder="1" applyAlignment="1"/>
    <xf numFmtId="2" fontId="0" fillId="6" borderId="13" xfId="0" applyNumberFormat="1" applyFill="1" applyBorder="1" applyAlignment="1">
      <alignment horizontal="center"/>
    </xf>
    <xf numFmtId="166" fontId="0" fillId="6" borderId="13" xfId="0" applyNumberFormat="1" applyFill="1" applyBorder="1" applyAlignment="1">
      <alignment horizontal="center"/>
    </xf>
    <xf numFmtId="167" fontId="0" fillId="6" borderId="13" xfId="0" applyNumberFormat="1" applyFill="1" applyBorder="1" applyAlignment="1">
      <alignment horizontal="center"/>
    </xf>
    <xf numFmtId="2" fontId="3" fillId="6" borderId="13" xfId="0" applyNumberFormat="1" applyFont="1" applyFill="1" applyBorder="1" applyAlignment="1">
      <alignment horizontal="center"/>
    </xf>
    <xf numFmtId="0" fontId="8" fillId="7" borderId="13" xfId="0" applyFont="1" applyFill="1" applyBorder="1" applyAlignment="1">
      <alignment horizontal="center" vertical="center" wrapText="1"/>
    </xf>
    <xf numFmtId="0" fontId="3" fillId="7" borderId="13" xfId="0" applyFont="1" applyFill="1" applyBorder="1" applyAlignment="1">
      <alignment horizontal="center"/>
    </xf>
    <xf numFmtId="2" fontId="3" fillId="7" borderId="13" xfId="0" applyNumberFormat="1" applyFont="1" applyFill="1" applyBorder="1" applyAlignment="1">
      <alignment horizontal="center"/>
    </xf>
    <xf numFmtId="0" fontId="0" fillId="7" borderId="13" xfId="0" applyFill="1" applyBorder="1" applyAlignment="1">
      <alignment horizontal="center"/>
    </xf>
    <xf numFmtId="167" fontId="0" fillId="7" borderId="13" xfId="0" applyNumberFormat="1" applyFill="1" applyBorder="1" applyAlignment="1">
      <alignment horizontal="center"/>
    </xf>
    <xf numFmtId="165" fontId="0" fillId="7" borderId="13" xfId="0" applyNumberFormat="1" applyFill="1" applyBorder="1" applyAlignment="1">
      <alignment horizontal="center"/>
    </xf>
    <xf numFmtId="0" fontId="7" fillId="3" borderId="16" xfId="0" applyFont="1" applyFill="1" applyBorder="1" applyAlignment="1">
      <alignment horizontal="center" vertical="center" wrapText="1"/>
    </xf>
    <xf numFmtId="0" fontId="3" fillId="0" borderId="9" xfId="0" applyFont="1" applyBorder="1" applyAlignment="1">
      <alignment horizontal="center"/>
    </xf>
    <xf numFmtId="0" fontId="8" fillId="0" borderId="9" xfId="0" applyFont="1" applyBorder="1" applyAlignment="1">
      <alignment horizontal="center" vertical="center" wrapText="1"/>
    </xf>
    <xf numFmtId="2" fontId="3" fillId="0" borderId="9" xfId="0" applyNumberFormat="1" applyFont="1" applyBorder="1" applyAlignment="1">
      <alignment horizontal="center"/>
    </xf>
    <xf numFmtId="0" fontId="7" fillId="0" borderId="9" xfId="0" applyFont="1" applyBorder="1" applyAlignment="1">
      <alignment horizontal="center"/>
    </xf>
    <xf numFmtId="0" fontId="1" fillId="0" borderId="9" xfId="0" applyFont="1" applyBorder="1" applyAlignment="1">
      <alignment horizontal="center"/>
    </xf>
    <xf numFmtId="0" fontId="3" fillId="4" borderId="0" xfId="0" applyFont="1" applyFill="1" applyAlignment="1">
      <alignment horizontal="center"/>
    </xf>
    <xf numFmtId="0" fontId="25" fillId="0" borderId="17" xfId="0" applyFont="1" applyBorder="1" applyAlignment="1"/>
    <xf numFmtId="0" fontId="25" fillId="0" borderId="14" xfId="0" applyFont="1" applyBorder="1" applyAlignment="1"/>
    <xf numFmtId="11" fontId="3" fillId="0" borderId="13" xfId="0" applyNumberFormat="1" applyFont="1" applyBorder="1" applyAlignment="1">
      <alignment horizontal="center"/>
    </xf>
    <xf numFmtId="0" fontId="24" fillId="0" borderId="17" xfId="0" applyFont="1" applyBorder="1" applyAlignment="1"/>
    <xf numFmtId="0" fontId="0" fillId="3" borderId="0" xfId="0" applyFill="1" applyAlignment="1">
      <alignment horizontal="center" vertical="top" wrapText="1"/>
    </xf>
    <xf numFmtId="167" fontId="3" fillId="0" borderId="13" xfId="0" applyNumberFormat="1" applyFont="1" applyBorder="1" applyAlignment="1">
      <alignment horizontal="center"/>
    </xf>
    <xf numFmtId="164" fontId="0" fillId="0" borderId="13" xfId="0" applyNumberFormat="1" applyBorder="1" applyAlignment="1">
      <alignment horizontal="center"/>
    </xf>
    <xf numFmtId="0" fontId="5" fillId="0" borderId="13" xfId="0" applyFont="1" applyBorder="1" applyAlignment="1">
      <alignment horizontal="center" vertical="center" wrapText="1"/>
    </xf>
    <xf numFmtId="167" fontId="6" fillId="0" borderId="2" xfId="0" applyNumberFormat="1" applyFont="1" applyBorder="1" applyAlignment="1">
      <alignment horizontal="center"/>
    </xf>
    <xf numFmtId="167" fontId="6" fillId="0" borderId="0" xfId="0" applyNumberFormat="1" applyFont="1" applyBorder="1" applyAlignment="1">
      <alignment horizontal="center"/>
    </xf>
    <xf numFmtId="167" fontId="6" fillId="0" borderId="8" xfId="0" applyNumberFormat="1" applyFont="1" applyBorder="1" applyAlignment="1">
      <alignment horizontal="center"/>
    </xf>
    <xf numFmtId="167" fontId="6" fillId="0" borderId="5" xfId="0" applyNumberFormat="1" applyFont="1" applyBorder="1" applyAlignment="1">
      <alignment horizontal="center"/>
    </xf>
    <xf numFmtId="167" fontId="6" fillId="0" borderId="6" xfId="0" applyNumberFormat="1" applyFont="1" applyBorder="1" applyAlignment="1">
      <alignment horizontal="center"/>
    </xf>
    <xf numFmtId="167" fontId="6" fillId="0" borderId="3" xfId="0" applyNumberFormat="1" applyFont="1" applyBorder="1" applyAlignment="1">
      <alignment horizontal="center"/>
    </xf>
    <xf numFmtId="167" fontId="3" fillId="0" borderId="0" xfId="0" applyNumberFormat="1" applyFont="1" applyAlignment="1">
      <alignment horizontal="center"/>
    </xf>
    <xf numFmtId="0" fontId="23" fillId="0" borderId="18" xfId="0" applyFont="1" applyBorder="1" applyAlignment="1">
      <alignment vertical="center" wrapText="1"/>
    </xf>
    <xf numFmtId="0" fontId="3" fillId="0" borderId="0" xfId="0" applyFont="1" applyBorder="1" applyAlignment="1">
      <alignment horizontal="center"/>
    </xf>
    <xf numFmtId="0" fontId="3" fillId="6" borderId="9" xfId="0" applyFont="1" applyFill="1" applyBorder="1" applyAlignment="1">
      <alignment horizontal="center"/>
    </xf>
    <xf numFmtId="0" fontId="7" fillId="0" borderId="13" xfId="0" applyFont="1" applyBorder="1" applyAlignment="1">
      <alignment horizontal="center"/>
    </xf>
    <xf numFmtId="0" fontId="0" fillId="0" borderId="24"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3" fillId="0" borderId="25"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167" fontId="3" fillId="0" borderId="0" xfId="0" applyNumberFormat="1" applyFont="1" applyBorder="1" applyAlignment="1">
      <alignment horizontal="center"/>
    </xf>
    <xf numFmtId="0" fontId="2" fillId="0" borderId="24" xfId="0" applyFont="1" applyBorder="1"/>
    <xf numFmtId="0" fontId="2" fillId="0" borderId="26" xfId="0" applyFont="1" applyBorder="1"/>
    <xf numFmtId="0" fontId="3" fillId="0" borderId="27"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 fillId="0" borderId="0" xfId="0" applyFont="1" applyBorder="1" applyAlignment="1">
      <alignment horizontal="center"/>
    </xf>
    <xf numFmtId="0" fontId="0" fillId="0" borderId="0" xfId="0" applyBorder="1" applyAlignment="1">
      <alignment horizontal="left"/>
    </xf>
    <xf numFmtId="0" fontId="5" fillId="12" borderId="11"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xf>
    <xf numFmtId="0" fontId="4" fillId="0" borderId="9" xfId="0" applyFont="1" applyBorder="1" applyAlignment="1">
      <alignment horizontal="center" vertical="center" wrapText="1"/>
    </xf>
    <xf numFmtId="0" fontId="1" fillId="0" borderId="27" xfId="0" applyFont="1" applyBorder="1" applyAlignment="1">
      <alignment horizontal="center" vertical="center" wrapText="1"/>
    </xf>
    <xf numFmtId="0" fontId="4" fillId="0" borderId="27"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8" fillId="0" borderId="33" xfId="0" applyFont="1" applyBorder="1" applyAlignment="1">
      <alignment horizontal="center" vertical="center" wrapText="1"/>
    </xf>
    <xf numFmtId="0" fontId="0" fillId="0" borderId="0" xfId="0" applyBorder="1" applyAlignment="1">
      <alignment horizontal="center" vertical="top" wrapText="1"/>
    </xf>
    <xf numFmtId="0" fontId="8" fillId="0" borderId="37"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4" fillId="0" borderId="39" xfId="0" applyFont="1" applyBorder="1" applyAlignment="1">
      <alignment horizontal="center" vertical="center" wrapText="1"/>
    </xf>
    <xf numFmtId="2" fontId="7" fillId="11" borderId="33" xfId="0" applyNumberFormat="1" applyFont="1" applyFill="1" applyBorder="1" applyAlignment="1">
      <alignment horizontal="center" vertical="center"/>
    </xf>
    <xf numFmtId="2" fontId="7" fillId="11" borderId="9" xfId="0" applyNumberFormat="1" applyFont="1" applyFill="1" applyBorder="1" applyAlignment="1">
      <alignment horizontal="center" vertical="center"/>
    </xf>
    <xf numFmtId="2" fontId="7" fillId="11" borderId="38" xfId="0" applyNumberFormat="1" applyFont="1" applyFill="1" applyBorder="1" applyAlignment="1">
      <alignment horizontal="center" vertical="center"/>
    </xf>
    <xf numFmtId="2" fontId="7" fillId="11" borderId="13" xfId="0" applyNumberFormat="1" applyFont="1" applyFill="1" applyBorder="1" applyAlignment="1">
      <alignment horizontal="center" vertical="center"/>
    </xf>
    <xf numFmtId="0" fontId="1" fillId="0" borderId="9" xfId="0" applyFont="1" applyBorder="1" applyAlignment="1">
      <alignment horizontal="center" vertical="center" wrapText="1"/>
    </xf>
    <xf numFmtId="0" fontId="3" fillId="13" borderId="9" xfId="0" applyFont="1" applyFill="1" applyBorder="1" applyAlignment="1">
      <alignment horizontal="center" vertical="center"/>
    </xf>
    <xf numFmtId="0" fontId="0" fillId="13" borderId="9" xfId="0" applyFill="1" applyBorder="1" applyAlignment="1">
      <alignment horizontal="center" vertical="center"/>
    </xf>
    <xf numFmtId="167" fontId="0" fillId="13" borderId="9" xfId="0" applyNumberFormat="1" applyFill="1" applyBorder="1" applyAlignment="1">
      <alignment horizontal="center" vertical="center"/>
    </xf>
    <xf numFmtId="165" fontId="0" fillId="13" borderId="9" xfId="0" applyNumberFormat="1" applyFill="1" applyBorder="1" applyAlignment="1">
      <alignment horizontal="center" vertical="center"/>
    </xf>
    <xf numFmtId="0" fontId="7" fillId="12" borderId="13" xfId="0" applyFont="1" applyFill="1" applyBorder="1" applyAlignment="1">
      <alignment horizontal="center" vertical="center" wrapText="1"/>
    </xf>
    <xf numFmtId="0" fontId="0" fillId="0" borderId="1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4" fillId="13" borderId="2" xfId="0" applyFont="1" applyFill="1" applyBorder="1" applyAlignment="1">
      <alignment horizontal="center"/>
    </xf>
    <xf numFmtId="0" fontId="4" fillId="0" borderId="7" xfId="0" applyFont="1" applyBorder="1" applyAlignment="1">
      <alignment horizontal="center"/>
    </xf>
    <xf numFmtId="0" fontId="28" fillId="13" borderId="0" xfId="0" applyFont="1" applyFill="1" applyBorder="1" applyAlignment="1">
      <alignment horizontal="center"/>
    </xf>
    <xf numFmtId="0" fontId="4" fillId="13" borderId="0" xfId="0" applyFont="1" applyFill="1" applyBorder="1" applyAlignment="1">
      <alignment horizontal="center"/>
    </xf>
    <xf numFmtId="2" fontId="4" fillId="13" borderId="0" xfId="0" applyNumberFormat="1" applyFont="1" applyFill="1" applyBorder="1" applyAlignment="1">
      <alignment horizontal="center"/>
    </xf>
    <xf numFmtId="0" fontId="4" fillId="0" borderId="4" xfId="0" applyFont="1" applyBorder="1" applyAlignment="1">
      <alignment horizontal="center"/>
    </xf>
    <xf numFmtId="0" fontId="28" fillId="13" borderId="5" xfId="0" applyFont="1" applyFill="1" applyBorder="1" applyAlignment="1">
      <alignment horizontal="center"/>
    </xf>
    <xf numFmtId="0" fontId="4" fillId="13" borderId="5" xfId="0" applyFont="1" applyFill="1" applyBorder="1" applyAlignment="1">
      <alignment horizontal="center"/>
    </xf>
    <xf numFmtId="0" fontId="8" fillId="3" borderId="37" xfId="0" applyFont="1" applyFill="1" applyBorder="1" applyAlignment="1">
      <alignment horizontal="center" vertical="center" wrapText="1"/>
    </xf>
    <xf numFmtId="0" fontId="0" fillId="0" borderId="9" xfId="0" applyBorder="1" applyAlignment="1">
      <alignment horizontal="center"/>
    </xf>
    <xf numFmtId="0" fontId="7" fillId="0" borderId="7" xfId="0" applyFont="1" applyBorder="1" applyAlignment="1">
      <alignment horizontal="center"/>
    </xf>
    <xf numFmtId="0" fontId="3" fillId="0" borderId="8" xfId="0" applyFont="1" applyBorder="1" applyAlignment="1">
      <alignment horizontal="center"/>
    </xf>
    <xf numFmtId="0" fontId="7" fillId="0" borderId="4" xfId="0" applyFont="1" applyBorder="1" applyAlignment="1">
      <alignment horizontal="center"/>
    </xf>
    <xf numFmtId="0" fontId="3" fillId="0" borderId="6" xfId="0" applyFon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1" fillId="0" borderId="44" xfId="0" applyFont="1" applyBorder="1" applyAlignment="1">
      <alignment horizontal="center"/>
    </xf>
    <xf numFmtId="0" fontId="1" fillId="0" borderId="46" xfId="0" applyFont="1" applyBorder="1" applyAlignment="1">
      <alignment horizontal="center"/>
    </xf>
    <xf numFmtId="0" fontId="1" fillId="0" borderId="25" xfId="0" applyFont="1" applyBorder="1" applyAlignment="1">
      <alignment horizontal="center"/>
    </xf>
    <xf numFmtId="0" fontId="7" fillId="12" borderId="13" xfId="0" applyFont="1" applyFill="1" applyBorder="1" applyAlignment="1">
      <alignment horizontal="center" vertical="center" wrapText="1"/>
    </xf>
    <xf numFmtId="2" fontId="7" fillId="13" borderId="33" xfId="0" applyNumberFormat="1" applyFont="1" applyFill="1" applyBorder="1" applyAlignment="1">
      <alignment horizontal="center" vertical="center"/>
    </xf>
    <xf numFmtId="2" fontId="0" fillId="0" borderId="0" xfId="0" applyNumberFormat="1" applyAlignment="1">
      <alignment horizontal="center"/>
    </xf>
    <xf numFmtId="0" fontId="8" fillId="3" borderId="9" xfId="0" applyFont="1" applyFill="1" applyBorder="1" applyAlignment="1">
      <alignment horizontal="center" vertical="center" wrapText="1"/>
    </xf>
    <xf numFmtId="0" fontId="3" fillId="0" borderId="9" xfId="0" applyFont="1" applyBorder="1" applyAlignment="1">
      <alignment horizontal="center"/>
    </xf>
    <xf numFmtId="0" fontId="3" fillId="0" borderId="0" xfId="0" applyFont="1" applyBorder="1" applyAlignment="1">
      <alignment horizontal="left"/>
    </xf>
    <xf numFmtId="166" fontId="0" fillId="0" borderId="0" xfId="0" applyNumberFormat="1" applyBorder="1" applyAlignment="1">
      <alignment horizontal="center"/>
    </xf>
    <xf numFmtId="167" fontId="0" fillId="0" borderId="0" xfId="0" applyNumberFormat="1" applyBorder="1" applyAlignment="1">
      <alignment horizontal="center"/>
    </xf>
    <xf numFmtId="0" fontId="0" fillId="0" borderId="0" xfId="0" applyBorder="1" applyAlignment="1">
      <alignment horizontal="right"/>
    </xf>
    <xf numFmtId="0" fontId="8" fillId="0" borderId="10" xfId="0" applyFont="1" applyBorder="1" applyAlignment="1">
      <alignment horizontal="center" vertical="center" wrapText="1"/>
    </xf>
    <xf numFmtId="0" fontId="0" fillId="13" borderId="10" xfId="0" applyFill="1" applyBorder="1" applyAlignment="1">
      <alignment horizontal="center" vertical="center"/>
    </xf>
    <xf numFmtId="0" fontId="4" fillId="0" borderId="10" xfId="0" applyFont="1" applyBorder="1" applyAlignment="1">
      <alignment horizontal="center" vertical="center" wrapText="1"/>
    </xf>
    <xf numFmtId="0" fontId="8" fillId="0" borderId="12" xfId="0" applyFont="1" applyBorder="1" applyAlignment="1">
      <alignment horizontal="center" vertical="center" wrapText="1"/>
    </xf>
    <xf numFmtId="167" fontId="0" fillId="13" borderId="12" xfId="0" applyNumberFormat="1" applyFill="1" applyBorder="1" applyAlignment="1">
      <alignment horizontal="center" vertical="center"/>
    </xf>
    <xf numFmtId="0" fontId="1" fillId="0" borderId="12" xfId="0" applyFont="1" applyBorder="1" applyAlignment="1">
      <alignment horizontal="center"/>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0" fillId="13" borderId="44" xfId="0" applyFill="1" applyBorder="1" applyAlignment="1">
      <alignment horizontal="center" vertical="center"/>
    </xf>
    <xf numFmtId="167" fontId="0" fillId="13" borderId="45" xfId="0" applyNumberFormat="1" applyFill="1" applyBorder="1" applyAlignment="1">
      <alignment horizontal="center" vertical="center"/>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7"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4" fillId="0" borderId="0" xfId="0" applyFont="1" applyBorder="1" applyAlignment="1">
      <alignment horizontal="center"/>
    </xf>
    <xf numFmtId="0" fontId="29" fillId="3" borderId="0" xfId="0" applyFont="1" applyFill="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48" xfId="0" applyFont="1" applyBorder="1" applyAlignment="1">
      <alignment horizontal="center"/>
    </xf>
    <xf numFmtId="165" fontId="3" fillId="0" borderId="47" xfId="0" applyNumberFormat="1" applyFont="1" applyBorder="1" applyAlignment="1">
      <alignment horizontal="center"/>
    </xf>
    <xf numFmtId="2" fontId="0" fillId="0" borderId="0" xfId="0" applyNumberFormat="1" applyBorder="1" applyAlignment="1">
      <alignment horizontal="center"/>
    </xf>
    <xf numFmtId="0" fontId="8" fillId="0" borderId="38" xfId="0" applyFont="1" applyBorder="1" applyAlignment="1">
      <alignment horizontal="center" vertical="center" wrapText="1"/>
    </xf>
    <xf numFmtId="0" fontId="31" fillId="0" borderId="0" xfId="0" applyFont="1" applyAlignment="1">
      <alignment horizontal="left"/>
    </xf>
    <xf numFmtId="0" fontId="15" fillId="0" borderId="0" xfId="0" applyFont="1" applyBorder="1" applyAlignment="1">
      <alignment horizontal="center"/>
    </xf>
    <xf numFmtId="166" fontId="7" fillId="11" borderId="9"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7" fillId="12" borderId="13" xfId="0" applyFont="1" applyFill="1" applyBorder="1" applyAlignment="1">
      <alignment horizontal="center" vertical="center" wrapText="1"/>
    </xf>
    <xf numFmtId="0" fontId="3" fillId="0" borderId="0" xfId="0" applyFont="1" applyBorder="1" applyAlignment="1">
      <alignment horizontal="center"/>
    </xf>
    <xf numFmtId="0" fontId="8" fillId="3" borderId="64" xfId="0" applyFont="1" applyFill="1" applyBorder="1" applyAlignment="1">
      <alignment horizontal="center" vertical="center" wrapText="1"/>
    </xf>
    <xf numFmtId="2" fontId="7" fillId="11" borderId="10" xfId="0" applyNumberFormat="1" applyFont="1" applyFill="1" applyBorder="1" applyAlignment="1">
      <alignment horizontal="center" vertical="center"/>
    </xf>
    <xf numFmtId="0" fontId="4" fillId="0" borderId="43" xfId="0" applyFont="1" applyBorder="1" applyAlignment="1">
      <alignment horizontal="center" vertical="center" wrapText="1"/>
    </xf>
    <xf numFmtId="0" fontId="0" fillId="0" borderId="31" xfId="0" applyBorder="1" applyAlignment="1">
      <alignment horizontal="center"/>
    </xf>
    <xf numFmtId="0" fontId="8" fillId="12" borderId="30" xfId="0" applyFont="1" applyFill="1" applyBorder="1" applyAlignment="1">
      <alignment horizontal="center" vertical="center" wrapText="1"/>
    </xf>
    <xf numFmtId="2" fontId="7" fillId="13" borderId="13" xfId="0" applyNumberFormat="1" applyFont="1" applyFill="1" applyBorder="1" applyAlignment="1">
      <alignment horizontal="center" vertical="center"/>
    </xf>
    <xf numFmtId="2" fontId="0" fillId="13" borderId="9" xfId="0" applyNumberFormat="1" applyFill="1" applyBorder="1" applyAlignment="1">
      <alignment horizontal="center" vertical="center"/>
    </xf>
    <xf numFmtId="0" fontId="0" fillId="13" borderId="13" xfId="0" applyFill="1" applyBorder="1" applyAlignment="1">
      <alignment horizontal="center"/>
    </xf>
    <xf numFmtId="166" fontId="0" fillId="13" borderId="13" xfId="0" applyNumberFormat="1" applyFill="1" applyBorder="1" applyAlignment="1">
      <alignment horizontal="center"/>
    </xf>
    <xf numFmtId="0" fontId="4" fillId="0" borderId="13" xfId="0" applyFont="1" applyBorder="1" applyAlignment="1">
      <alignment horizontal="center" vertical="center" wrapText="1"/>
    </xf>
    <xf numFmtId="0" fontId="4" fillId="0" borderId="27" xfId="0" applyFont="1" applyBorder="1" applyAlignment="1">
      <alignment horizontal="center"/>
    </xf>
    <xf numFmtId="0" fontId="4" fillId="5" borderId="40" xfId="0" applyFont="1" applyFill="1" applyBorder="1" applyAlignment="1">
      <alignment horizontal="center" vertical="center" wrapText="1"/>
    </xf>
    <xf numFmtId="0" fontId="4" fillId="0" borderId="1" xfId="0" applyFont="1" applyBorder="1" applyAlignment="1">
      <alignment horizontal="center"/>
    </xf>
    <xf numFmtId="2" fontId="8" fillId="0" borderId="0" xfId="0" applyNumberFormat="1" applyFont="1" applyAlignment="1">
      <alignment horizontal="center" vertical="center" wrapText="1"/>
    </xf>
    <xf numFmtId="167" fontId="4" fillId="13" borderId="0" xfId="0" applyNumberFormat="1" applyFont="1" applyFill="1" applyBorder="1" applyAlignment="1">
      <alignment horizont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5"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7" fillId="12" borderId="13" xfId="0" applyFont="1" applyFill="1" applyBorder="1" applyAlignment="1">
      <alignment horizontal="center" vertical="center" wrapText="1"/>
    </xf>
    <xf numFmtId="0" fontId="7" fillId="0" borderId="1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3" fillId="0" borderId="0" xfId="0" applyFont="1" applyBorder="1" applyAlignment="1">
      <alignment horizontal="center"/>
    </xf>
    <xf numFmtId="0" fontId="4" fillId="0" borderId="5" xfId="0" applyFont="1" applyBorder="1" applyAlignment="1">
      <alignment horizontal="center"/>
    </xf>
    <xf numFmtId="0" fontId="31" fillId="3" borderId="0" xfId="0" applyFont="1" applyFill="1" applyAlignment="1">
      <alignment horizontal="left"/>
    </xf>
    <xf numFmtId="0" fontId="0" fillId="3" borderId="0" xfId="0" applyFill="1" applyAlignment="1">
      <alignment horizontal="center"/>
    </xf>
    <xf numFmtId="0" fontId="15" fillId="3" borderId="0" xfId="0" applyFont="1" applyFill="1"/>
    <xf numFmtId="0" fontId="4" fillId="0" borderId="43" xfId="0" applyFont="1" applyBorder="1" applyAlignment="1">
      <alignment horizontal="center" vertical="center" wrapText="1"/>
    </xf>
    <xf numFmtId="0" fontId="4" fillId="0" borderId="40" xfId="0" applyFont="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3" xfId="0" applyFont="1" applyBorder="1" applyAlignment="1">
      <alignment horizontal="center" vertical="center" wrapText="1"/>
    </xf>
    <xf numFmtId="0" fontId="7" fillId="12" borderId="13" xfId="0" applyFont="1" applyFill="1" applyBorder="1" applyAlignment="1">
      <alignment horizontal="center" vertical="center" wrapText="1"/>
    </xf>
    <xf numFmtId="0" fontId="26" fillId="10" borderId="34" xfId="0" applyFont="1" applyFill="1" applyBorder="1" applyAlignment="1">
      <alignment horizontal="center" vertical="center" wrapText="1"/>
    </xf>
    <xf numFmtId="0" fontId="26" fillId="10" borderId="35" xfId="0" applyFont="1" applyFill="1" applyBorder="1" applyAlignment="1">
      <alignment horizontal="center" vertical="center" wrapText="1"/>
    </xf>
    <xf numFmtId="0" fontId="26" fillId="10" borderId="36"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7" fillId="0" borderId="13" xfId="0" applyFont="1" applyBorder="1" applyAlignment="1">
      <alignment horizontal="center"/>
    </xf>
    <xf numFmtId="0" fontId="26" fillId="10" borderId="17" xfId="0" applyFont="1" applyFill="1" applyBorder="1" applyAlignment="1">
      <alignment horizontal="center" vertical="center" wrapText="1"/>
    </xf>
    <xf numFmtId="0" fontId="26" fillId="10" borderId="14" xfId="0" applyFont="1" applyFill="1" applyBorder="1" applyAlignment="1">
      <alignment horizontal="center" vertical="center" wrapText="1"/>
    </xf>
    <xf numFmtId="0" fontId="26" fillId="10" borderId="15" xfId="0" applyFont="1" applyFill="1" applyBorder="1" applyAlignment="1">
      <alignment horizontal="center" vertical="center" wrapText="1"/>
    </xf>
    <xf numFmtId="0" fontId="26" fillId="10" borderId="66" xfId="0" applyFont="1" applyFill="1" applyBorder="1" applyAlignment="1">
      <alignment horizontal="center" vertical="center" wrapText="1"/>
    </xf>
    <xf numFmtId="0" fontId="26" fillId="10" borderId="67" xfId="0" applyFont="1" applyFill="1" applyBorder="1" applyAlignment="1">
      <alignment horizontal="center" vertical="center" wrapText="1"/>
    </xf>
    <xf numFmtId="0" fontId="26" fillId="10" borderId="68" xfId="0" applyFont="1" applyFill="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4" fillId="0" borderId="43" xfId="0" applyFont="1" applyBorder="1" applyAlignment="1">
      <alignment horizontal="left" vertical="center" wrapText="1"/>
    </xf>
    <xf numFmtId="0" fontId="4" fillId="0" borderId="63" xfId="0" applyFont="1" applyBorder="1" applyAlignment="1">
      <alignment horizontal="left" vertical="center" wrapText="1"/>
    </xf>
    <xf numFmtId="0" fontId="26" fillId="10" borderId="59" xfId="0" applyFont="1" applyFill="1" applyBorder="1" applyAlignment="1">
      <alignment horizontal="center" vertical="center" wrapText="1"/>
    </xf>
    <xf numFmtId="0" fontId="26" fillId="10" borderId="60"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26" fillId="9" borderId="29" xfId="0" applyFont="1" applyFill="1" applyBorder="1" applyAlignment="1">
      <alignment horizontal="center"/>
    </xf>
    <xf numFmtId="0" fontId="26" fillId="9" borderId="20" xfId="0" applyFont="1" applyFill="1" applyBorder="1" applyAlignment="1">
      <alignment horizontal="center"/>
    </xf>
    <xf numFmtId="0" fontId="26" fillId="9" borderId="30" xfId="0" applyFont="1" applyFill="1" applyBorder="1" applyAlignment="1">
      <alignment horizontal="center"/>
    </xf>
    <xf numFmtId="0" fontId="9" fillId="13" borderId="29" xfId="0" applyFont="1" applyFill="1" applyBorder="1" applyAlignment="1">
      <alignment horizontal="center" vertical="center" wrapText="1"/>
    </xf>
    <xf numFmtId="0" fontId="9" fillId="13" borderId="20"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4" fillId="0" borderId="9" xfId="0" applyFont="1" applyBorder="1" applyAlignment="1">
      <alignment horizontal="center" vertical="center" wrapText="1"/>
    </xf>
    <xf numFmtId="0" fontId="26" fillId="10" borderId="1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6"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49" xfId="0" applyFont="1" applyBorder="1" applyAlignment="1">
      <alignment horizontal="center"/>
    </xf>
    <xf numFmtId="0" fontId="8" fillId="0" borderId="51" xfId="0" applyFont="1" applyBorder="1" applyAlignment="1">
      <alignment horizontal="center"/>
    </xf>
    <xf numFmtId="0" fontId="4" fillId="0" borderId="40" xfId="0" applyFont="1" applyBorder="1" applyAlignment="1">
      <alignment horizontal="left" vertical="center" wrapText="1"/>
    </xf>
    <xf numFmtId="0" fontId="4" fillId="0" borderId="46" xfId="0" applyFont="1" applyBorder="1" applyAlignment="1">
      <alignment horizontal="center" vertical="center" wrapText="1"/>
    </xf>
    <xf numFmtId="0" fontId="4" fillId="0" borderId="48" xfId="0" applyFont="1" applyBorder="1" applyAlignment="1">
      <alignment horizontal="center" vertical="center" wrapText="1"/>
    </xf>
    <xf numFmtId="0" fontId="26" fillId="10" borderId="2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26" fillId="10" borderId="23" xfId="0" applyFont="1" applyFill="1" applyBorder="1" applyAlignment="1">
      <alignment horizontal="center" vertical="center" wrapText="1"/>
    </xf>
    <xf numFmtId="0" fontId="8" fillId="9" borderId="49" xfId="0" applyFont="1" applyFill="1" applyBorder="1" applyAlignment="1">
      <alignment horizontal="center"/>
    </xf>
    <xf numFmtId="0" fontId="8" fillId="9" borderId="50" xfId="0" applyFont="1" applyFill="1" applyBorder="1" applyAlignment="1">
      <alignment horizontal="center"/>
    </xf>
    <xf numFmtId="0" fontId="8" fillId="9" borderId="51" xfId="0" applyFont="1" applyFill="1" applyBorder="1" applyAlignment="1">
      <alignment horizontal="center"/>
    </xf>
    <xf numFmtId="0" fontId="0" fillId="0" borderId="10" xfId="0" applyBorder="1" applyAlignment="1">
      <alignment horizontal="left"/>
    </xf>
    <xf numFmtId="0" fontId="0" fillId="0" borderId="11"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0" fillId="0" borderId="55" xfId="0" applyBorder="1" applyAlignment="1">
      <alignment horizontal="left"/>
    </xf>
    <xf numFmtId="0" fontId="0" fillId="0" borderId="0" xfId="0" applyBorder="1" applyAlignment="1">
      <alignment horizontal="center" vertical="center" wrapText="1"/>
    </xf>
    <xf numFmtId="0" fontId="0" fillId="3" borderId="0" xfId="0" applyFill="1" applyAlignment="1">
      <alignment horizontal="center" vertical="top" wrapText="1"/>
    </xf>
    <xf numFmtId="0" fontId="0" fillId="0" borderId="0" xfId="0" applyAlignment="1">
      <alignment horizontal="center" vertical="top" wrapText="1"/>
    </xf>
    <xf numFmtId="0" fontId="23" fillId="0" borderId="18" xfId="0" applyFont="1" applyBorder="1" applyAlignment="1">
      <alignment horizontal="center" vertical="center" wrapText="1"/>
    </xf>
    <xf numFmtId="0" fontId="18" fillId="0" borderId="0" xfId="0" applyFont="1" applyAlignment="1">
      <alignment horizontal="center"/>
    </xf>
    <xf numFmtId="0" fontId="23" fillId="0" borderId="0" xfId="0" applyFont="1" applyBorder="1" applyAlignment="1">
      <alignment horizontal="center" vertical="center" wrapText="1"/>
    </xf>
    <xf numFmtId="0" fontId="24" fillId="0" borderId="17" xfId="0" applyFont="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5" fillId="0" borderId="17" xfId="0" applyFont="1" applyBorder="1" applyAlignment="1">
      <alignment horizontal="center"/>
    </xf>
    <xf numFmtId="0" fontId="25" fillId="0" borderId="14" xfId="0" applyFont="1" applyBorder="1" applyAlignment="1">
      <alignment horizontal="center"/>
    </xf>
    <xf numFmtId="0" fontId="25" fillId="0" borderId="15"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 fillId="0" borderId="9" xfId="0" applyFont="1" applyBorder="1" applyAlignment="1">
      <alignment horizontal="center"/>
    </xf>
    <xf numFmtId="0" fontId="9" fillId="0" borderId="0" xfId="0" applyFont="1" applyAlignment="1">
      <alignment horizontal="center"/>
    </xf>
    <xf numFmtId="0" fontId="0" fillId="0" borderId="12" xfId="0" applyBorder="1" applyAlignment="1">
      <alignment horizontal="left"/>
    </xf>
    <xf numFmtId="0" fontId="25" fillId="0" borderId="19" xfId="0" applyFont="1" applyBorder="1" applyAlignment="1">
      <alignment horizontal="center"/>
    </xf>
    <xf numFmtId="0" fontId="25" fillId="0" borderId="0" xfId="0" applyFont="1" applyBorder="1" applyAlignment="1">
      <alignment horizontal="center"/>
    </xf>
    <xf numFmtId="0" fontId="21" fillId="0" borderId="20" xfId="0" applyFont="1" applyBorder="1" applyAlignment="1">
      <alignment horizontal="center" vertical="top" wrapText="1"/>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16" fillId="5" borderId="0" xfId="0" applyFont="1" applyFill="1" applyAlignment="1">
      <alignment horizontal="center" wrapText="1"/>
    </xf>
    <xf numFmtId="0" fontId="15" fillId="0" borderId="0" xfId="0" applyFont="1" applyAlignment="1">
      <alignment horizontal="center" vertical="center" wrapText="1"/>
    </xf>
    <xf numFmtId="0" fontId="3" fillId="0" borderId="0" xfId="0" applyFont="1" applyBorder="1" applyAlignment="1">
      <alignment horizontal="center"/>
    </xf>
    <xf numFmtId="0" fontId="25" fillId="7" borderId="13" xfId="0" applyFont="1" applyFill="1" applyBorder="1" applyAlignment="1">
      <alignment horizontal="center"/>
    </xf>
    <xf numFmtId="2" fontId="7" fillId="3" borderId="10" xfId="0" applyNumberFormat="1" applyFont="1" applyFill="1" applyBorder="1" applyAlignment="1">
      <alignment horizontal="center" vertical="center"/>
    </xf>
    <xf numFmtId="2" fontId="7" fillId="3" borderId="9" xfId="0" applyNumberFormat="1" applyFont="1" applyFill="1" applyBorder="1" applyAlignment="1">
      <alignment horizontal="center" vertical="center"/>
    </xf>
    <xf numFmtId="0" fontId="0" fillId="0" borderId="0" xfId="0" applyFill="1" applyAlignment="1">
      <alignment horizontal="center"/>
    </xf>
    <xf numFmtId="0" fontId="0" fillId="14" borderId="0" xfId="0" applyFill="1" applyAlignment="1">
      <alignment horizontal="center"/>
    </xf>
    <xf numFmtId="0" fontId="26"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6" fillId="14" borderId="61" xfId="0" applyFont="1" applyFill="1" applyBorder="1" applyAlignment="1">
      <alignment horizontal="center" vertical="center" wrapText="1"/>
    </xf>
    <xf numFmtId="0" fontId="29" fillId="14" borderId="0" xfId="0" applyFont="1" applyFill="1" applyAlignment="1">
      <alignment horizontal="center"/>
    </xf>
    <xf numFmtId="0" fontId="8" fillId="14" borderId="56" xfId="0" applyFont="1" applyFill="1" applyBorder="1" applyAlignment="1">
      <alignment horizontal="center" vertical="center" wrapText="1"/>
    </xf>
    <xf numFmtId="0" fontId="8" fillId="14" borderId="57" xfId="0" applyFont="1" applyFill="1" applyBorder="1" applyAlignment="1">
      <alignment horizontal="center" vertical="center" wrapText="1"/>
    </xf>
    <xf numFmtId="0" fontId="8" fillId="14" borderId="58" xfId="0" applyFont="1" applyFill="1" applyBorder="1" applyAlignment="1">
      <alignment horizontal="center" vertical="center" wrapText="1"/>
    </xf>
    <xf numFmtId="2" fontId="7" fillId="14" borderId="33" xfId="0" applyNumberFormat="1" applyFont="1" applyFill="1" applyBorder="1" applyAlignment="1">
      <alignment horizontal="center" vertical="center"/>
    </xf>
    <xf numFmtId="2" fontId="7" fillId="14" borderId="9" xfId="0" applyNumberFormat="1" applyFont="1" applyFill="1" applyBorder="1" applyAlignment="1">
      <alignment horizontal="center" vertical="center"/>
    </xf>
    <xf numFmtId="2" fontId="7" fillId="14" borderId="38" xfId="0" applyNumberFormat="1" applyFont="1" applyFill="1" applyBorder="1" applyAlignment="1">
      <alignment horizontal="center" vertical="center"/>
    </xf>
    <xf numFmtId="0" fontId="4" fillId="14" borderId="39" xfId="0" applyFont="1" applyFill="1" applyBorder="1" applyAlignment="1">
      <alignment horizontal="center" vertical="center" wrapText="1"/>
    </xf>
    <xf numFmtId="0" fontId="4" fillId="14" borderId="40" xfId="0" applyFont="1" applyFill="1" applyBorder="1" applyAlignment="1">
      <alignment horizontal="center" vertical="center" wrapText="1"/>
    </xf>
    <xf numFmtId="0" fontId="4" fillId="14" borderId="40" xfId="0" applyFont="1" applyFill="1" applyBorder="1" applyAlignment="1">
      <alignment horizontal="center" vertical="center" wrapText="1"/>
    </xf>
    <xf numFmtId="0" fontId="4" fillId="14" borderId="41" xfId="0" applyFont="1" applyFill="1" applyBorder="1" applyAlignment="1">
      <alignment horizontal="center" vertical="center" wrapText="1"/>
    </xf>
    <xf numFmtId="0" fontId="4" fillId="14" borderId="0" xfId="0" applyFont="1" applyFill="1" applyBorder="1" applyAlignment="1">
      <alignment horizontal="center"/>
    </xf>
    <xf numFmtId="2" fontId="0" fillId="14" borderId="0" xfId="0" applyNumberFormat="1" applyFill="1" applyAlignment="1">
      <alignment horizontal="center"/>
    </xf>
    <xf numFmtId="0" fontId="31" fillId="14" borderId="0" xfId="0" applyFont="1" applyFill="1" applyAlignment="1">
      <alignment horizontal="left"/>
    </xf>
    <xf numFmtId="0" fontId="15" fillId="14" borderId="0" xfId="0" applyFont="1" applyFill="1"/>
    <xf numFmtId="0" fontId="1" fillId="14" borderId="0" xfId="0" applyFont="1" applyFill="1" applyAlignment="1">
      <alignment horizontal="center"/>
    </xf>
    <xf numFmtId="0" fontId="4" fillId="14" borderId="0" xfId="0" applyFont="1" applyFill="1" applyAlignment="1">
      <alignment horizontal="center"/>
    </xf>
    <xf numFmtId="0" fontId="8" fillId="14" borderId="0" xfId="0" applyFont="1" applyFill="1" applyAlignment="1">
      <alignment horizontal="center" vertical="center" wrapText="1"/>
    </xf>
    <xf numFmtId="0" fontId="23" fillId="14" borderId="0" xfId="0" applyFont="1" applyFill="1" applyAlignment="1"/>
    <xf numFmtId="0" fontId="0" fillId="14" borderId="0" xfId="0" applyFill="1" applyBorder="1" applyAlignment="1">
      <alignment horizontal="center"/>
    </xf>
    <xf numFmtId="167" fontId="0" fillId="14" borderId="0" xfId="0" applyNumberFormat="1" applyFill="1" applyBorder="1" applyAlignment="1">
      <alignment horizontal="center"/>
    </xf>
    <xf numFmtId="0" fontId="0" fillId="14" borderId="25" xfId="0" applyFill="1" applyBorder="1" applyAlignment="1">
      <alignment horizontal="center"/>
    </xf>
    <xf numFmtId="0" fontId="3" fillId="14" borderId="0" xfId="0" applyFont="1" applyFill="1" applyBorder="1" applyAlignment="1">
      <alignment horizontal="right"/>
    </xf>
    <xf numFmtId="166" fontId="0" fillId="14" borderId="0" xfId="0" applyNumberFormat="1" applyFill="1" applyBorder="1" applyAlignment="1">
      <alignment horizontal="center"/>
    </xf>
    <xf numFmtId="167" fontId="0" fillId="14" borderId="25" xfId="0" applyNumberFormat="1" applyFill="1" applyBorder="1" applyAlignment="1">
      <alignment horizontal="center"/>
    </xf>
    <xf numFmtId="0" fontId="21" fillId="14" borderId="0" xfId="0" applyFont="1" applyFill="1" applyBorder="1" applyAlignment="1">
      <alignment horizontal="center"/>
    </xf>
    <xf numFmtId="0" fontId="16" fillId="0" borderId="27" xfId="0" applyFont="1" applyBorder="1" applyAlignment="1">
      <alignment vertical="center" wrapText="1"/>
    </xf>
    <xf numFmtId="2" fontId="7" fillId="3" borderId="38" xfId="0" applyNumberFormat="1" applyFont="1" applyFill="1" applyBorder="1" applyAlignment="1">
      <alignment horizontal="center" vertical="center"/>
    </xf>
    <xf numFmtId="0" fontId="8" fillId="12" borderId="72" xfId="0" applyFont="1" applyFill="1" applyBorder="1" applyAlignment="1">
      <alignment horizontal="center" vertical="center" wrapText="1"/>
    </xf>
    <xf numFmtId="0" fontId="0" fillId="0" borderId="73" xfId="0" applyBorder="1" applyAlignment="1">
      <alignment horizontal="center"/>
    </xf>
    <xf numFmtId="0" fontId="15" fillId="0" borderId="27"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CC0E7"/>
      <color rgb="FFFBA3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0</xdr:rowOff>
    </xdr:from>
    <xdr:to>
      <xdr:col>7</xdr:col>
      <xdr:colOff>333375</xdr:colOff>
      <xdr:row>34</xdr:row>
      <xdr:rowOff>9525</xdr:rowOff>
    </xdr:to>
    <xdr:pic>
      <xdr:nvPicPr>
        <xdr:cNvPr id="351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266700" y="0"/>
          <a:ext cx="4333875" cy="5514975"/>
        </a:xfrm>
        <a:prstGeom prst="rect">
          <a:avLst/>
        </a:prstGeom>
        <a:noFill/>
        <a:ln w="9525">
          <a:noFill/>
          <a:miter lim="800000"/>
          <a:headEnd/>
          <a:tailEnd/>
        </a:ln>
      </xdr:spPr>
    </xdr:pic>
    <xdr:clientData/>
  </xdr:twoCellAnchor>
  <xdr:twoCellAnchor editAs="oneCell">
    <xdr:from>
      <xdr:col>8</xdr:col>
      <xdr:colOff>28575</xdr:colOff>
      <xdr:row>0</xdr:row>
      <xdr:rowOff>0</xdr:rowOff>
    </xdr:from>
    <xdr:to>
      <xdr:col>15</xdr:col>
      <xdr:colOff>542925</xdr:colOff>
      <xdr:row>32</xdr:row>
      <xdr:rowOff>142875</xdr:rowOff>
    </xdr:to>
    <xdr:pic>
      <xdr:nvPicPr>
        <xdr:cNvPr id="3514" name="Picture 21"/>
        <xdr:cNvPicPr>
          <a:picLocks noChangeAspect="1" noChangeArrowheads="1"/>
        </xdr:cNvPicPr>
      </xdr:nvPicPr>
      <xdr:blipFill>
        <a:blip xmlns:r="http://schemas.openxmlformats.org/officeDocument/2006/relationships" r:embed="rId2" cstate="print"/>
        <a:srcRect b="12302"/>
        <a:stretch>
          <a:fillRect/>
        </a:stretch>
      </xdr:blipFill>
      <xdr:spPr bwMode="auto">
        <a:xfrm>
          <a:off x="4905375" y="0"/>
          <a:ext cx="4781550" cy="5324475"/>
        </a:xfrm>
        <a:prstGeom prst="rect">
          <a:avLst/>
        </a:prstGeom>
        <a:noFill/>
        <a:ln w="9525">
          <a:noFill/>
          <a:miter lim="800000"/>
          <a:headEnd/>
          <a:tailEnd/>
        </a:ln>
      </xdr:spPr>
    </xdr:pic>
    <xdr:clientData/>
  </xdr:twoCellAnchor>
  <xdr:twoCellAnchor editAs="oneCell">
    <xdr:from>
      <xdr:col>16</xdr:col>
      <xdr:colOff>85725</xdr:colOff>
      <xdr:row>0</xdr:row>
      <xdr:rowOff>0</xdr:rowOff>
    </xdr:from>
    <xdr:to>
      <xdr:col>23</xdr:col>
      <xdr:colOff>476250</xdr:colOff>
      <xdr:row>39</xdr:row>
      <xdr:rowOff>28575</xdr:rowOff>
    </xdr:to>
    <xdr:pic>
      <xdr:nvPicPr>
        <xdr:cNvPr id="3515" name="Picture 50"/>
        <xdr:cNvPicPr>
          <a:picLocks noChangeAspect="1" noChangeArrowheads="1"/>
        </xdr:cNvPicPr>
      </xdr:nvPicPr>
      <xdr:blipFill>
        <a:blip xmlns:r="http://schemas.openxmlformats.org/officeDocument/2006/relationships" r:embed="rId3" cstate="print"/>
        <a:srcRect l="6645" t="6073" r="13306" b="8279"/>
        <a:stretch>
          <a:fillRect/>
        </a:stretch>
      </xdr:blipFill>
      <xdr:spPr bwMode="auto">
        <a:xfrm>
          <a:off x="9839325" y="0"/>
          <a:ext cx="4657725" cy="6343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8</xdr:col>
      <xdr:colOff>76200</xdr:colOff>
      <xdr:row>20</xdr:row>
      <xdr:rowOff>9525</xdr:rowOff>
    </xdr:to>
    <xdr:pic>
      <xdr:nvPicPr>
        <xdr:cNvPr id="447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200" y="95250"/>
          <a:ext cx="4876800" cy="3152775"/>
        </a:xfrm>
        <a:prstGeom prst="rect">
          <a:avLst/>
        </a:prstGeom>
        <a:noFill/>
        <a:ln w="1">
          <a:noFill/>
          <a:miter lim="800000"/>
          <a:headEnd/>
          <a:tailEnd/>
        </a:ln>
      </xdr:spPr>
    </xdr:pic>
    <xdr:clientData/>
  </xdr:twoCellAnchor>
  <xdr:twoCellAnchor editAs="oneCell">
    <xdr:from>
      <xdr:col>7</xdr:col>
      <xdr:colOff>552450</xdr:colOff>
      <xdr:row>0</xdr:row>
      <xdr:rowOff>57150</xdr:rowOff>
    </xdr:from>
    <xdr:to>
      <xdr:col>14</xdr:col>
      <xdr:colOff>247650</xdr:colOff>
      <xdr:row>20</xdr:row>
      <xdr:rowOff>47625</xdr:rowOff>
    </xdr:to>
    <xdr:pic>
      <xdr:nvPicPr>
        <xdr:cNvPr id="4479"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819650" y="57150"/>
          <a:ext cx="3962400" cy="3228975"/>
        </a:xfrm>
        <a:prstGeom prst="rect">
          <a:avLst/>
        </a:prstGeom>
        <a:noFill/>
        <a:ln w="1">
          <a:noFill/>
          <a:miter lim="800000"/>
          <a:headEnd/>
          <a:tailEnd/>
        </a:ln>
      </xdr:spPr>
    </xdr:pic>
    <xdr:clientData/>
  </xdr:twoCellAnchor>
  <xdr:twoCellAnchor editAs="oneCell">
    <xdr:from>
      <xdr:col>14</xdr:col>
      <xdr:colOff>371475</xdr:colOff>
      <xdr:row>0</xdr:row>
      <xdr:rowOff>95250</xdr:rowOff>
    </xdr:from>
    <xdr:to>
      <xdr:col>18</xdr:col>
      <xdr:colOff>419100</xdr:colOff>
      <xdr:row>16</xdr:row>
      <xdr:rowOff>123825</xdr:rowOff>
    </xdr:to>
    <xdr:pic>
      <xdr:nvPicPr>
        <xdr:cNvPr id="4480"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905875" y="95250"/>
          <a:ext cx="2486025" cy="2619375"/>
        </a:xfrm>
        <a:prstGeom prst="rect">
          <a:avLst/>
        </a:prstGeom>
        <a:noFill/>
        <a:ln w="1">
          <a:noFill/>
          <a:miter lim="800000"/>
          <a:headEnd/>
          <a:tailEnd/>
        </a:ln>
      </xdr:spPr>
    </xdr:pic>
    <xdr:clientData/>
  </xdr:twoCellAnchor>
  <xdr:twoCellAnchor editAs="oneCell">
    <xdr:from>
      <xdr:col>18</xdr:col>
      <xdr:colOff>495300</xdr:colOff>
      <xdr:row>0</xdr:row>
      <xdr:rowOff>76200</xdr:rowOff>
    </xdr:from>
    <xdr:to>
      <xdr:col>25</xdr:col>
      <xdr:colOff>228600</xdr:colOff>
      <xdr:row>34</xdr:row>
      <xdr:rowOff>47625</xdr:rowOff>
    </xdr:to>
    <xdr:pic>
      <xdr:nvPicPr>
        <xdr:cNvPr id="4481" name="Picture 25"/>
        <xdr:cNvPicPr>
          <a:picLocks noChangeAspect="1" noChangeArrowheads="1"/>
        </xdr:cNvPicPr>
      </xdr:nvPicPr>
      <xdr:blipFill>
        <a:blip xmlns:r="http://schemas.openxmlformats.org/officeDocument/2006/relationships" r:embed="rId4" cstate="print"/>
        <a:srcRect/>
        <a:stretch>
          <a:fillRect/>
        </a:stretch>
      </xdr:blipFill>
      <xdr:spPr bwMode="auto">
        <a:xfrm>
          <a:off x="11468100" y="76200"/>
          <a:ext cx="4000500" cy="5476875"/>
        </a:xfrm>
        <a:prstGeom prst="rect">
          <a:avLst/>
        </a:prstGeom>
        <a:noFill/>
        <a:ln w="1">
          <a:noFill/>
          <a:miter lim="800000"/>
          <a:headEnd/>
          <a:tailEnd/>
        </a:ln>
      </xdr:spPr>
    </xdr:pic>
    <xdr:clientData/>
  </xdr:twoCellAnchor>
  <xdr:twoCellAnchor editAs="oneCell">
    <xdr:from>
      <xdr:col>0</xdr:col>
      <xdr:colOff>314325</xdr:colOff>
      <xdr:row>22</xdr:row>
      <xdr:rowOff>142875</xdr:rowOff>
    </xdr:from>
    <xdr:to>
      <xdr:col>8</xdr:col>
      <xdr:colOff>200025</xdr:colOff>
      <xdr:row>79</xdr:row>
      <xdr:rowOff>152400</xdr:rowOff>
    </xdr:to>
    <xdr:pic>
      <xdr:nvPicPr>
        <xdr:cNvPr id="4482" name="Picture 26"/>
        <xdr:cNvPicPr>
          <a:picLocks noChangeAspect="1" noChangeArrowheads="1"/>
        </xdr:cNvPicPr>
      </xdr:nvPicPr>
      <xdr:blipFill>
        <a:blip xmlns:r="http://schemas.openxmlformats.org/officeDocument/2006/relationships" r:embed="rId5" cstate="print"/>
        <a:srcRect/>
        <a:stretch>
          <a:fillRect/>
        </a:stretch>
      </xdr:blipFill>
      <xdr:spPr bwMode="auto">
        <a:xfrm>
          <a:off x="314325" y="3705225"/>
          <a:ext cx="4762500" cy="9239250"/>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xdr:colOff>
      <xdr:row>1</xdr:row>
      <xdr:rowOff>38100</xdr:rowOff>
    </xdr:from>
    <xdr:to>
      <xdr:col>15</xdr:col>
      <xdr:colOff>0</xdr:colOff>
      <xdr:row>14</xdr:row>
      <xdr:rowOff>152400</xdr:rowOff>
    </xdr:to>
    <xdr:pic>
      <xdr:nvPicPr>
        <xdr:cNvPr id="528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4286250" y="200025"/>
          <a:ext cx="4857750" cy="2219325"/>
        </a:xfrm>
        <a:prstGeom prst="rect">
          <a:avLst/>
        </a:prstGeom>
        <a:noFill/>
        <a:ln w="9525">
          <a:noFill/>
          <a:miter lim="800000"/>
          <a:headEnd/>
          <a:tailEnd/>
        </a:ln>
      </xdr:spPr>
    </xdr:pic>
    <xdr:clientData/>
  </xdr:twoCellAnchor>
  <xdr:twoCellAnchor editAs="oneCell">
    <xdr:from>
      <xdr:col>0</xdr:col>
      <xdr:colOff>66675</xdr:colOff>
      <xdr:row>16</xdr:row>
      <xdr:rowOff>38100</xdr:rowOff>
    </xdr:from>
    <xdr:to>
      <xdr:col>8</xdr:col>
      <xdr:colOff>542925</xdr:colOff>
      <xdr:row>31</xdr:row>
      <xdr:rowOff>0</xdr:rowOff>
    </xdr:to>
    <xdr:pic>
      <xdr:nvPicPr>
        <xdr:cNvPr id="5281" name="Picture 58"/>
        <xdr:cNvPicPr>
          <a:picLocks noChangeAspect="1" noChangeArrowheads="1"/>
        </xdr:cNvPicPr>
      </xdr:nvPicPr>
      <xdr:blipFill>
        <a:blip xmlns:r="http://schemas.openxmlformats.org/officeDocument/2006/relationships" r:embed="rId2" cstate="print"/>
        <a:srcRect/>
        <a:stretch>
          <a:fillRect/>
        </a:stretch>
      </xdr:blipFill>
      <xdr:spPr bwMode="auto">
        <a:xfrm>
          <a:off x="66675" y="2628900"/>
          <a:ext cx="5353050" cy="2390775"/>
        </a:xfrm>
        <a:prstGeom prst="rect">
          <a:avLst/>
        </a:prstGeom>
        <a:noFill/>
        <a:ln w="9525">
          <a:noFill/>
          <a:miter lim="800000"/>
          <a:headEnd/>
          <a:tailEnd/>
        </a:ln>
      </xdr:spPr>
    </xdr:pic>
    <xdr:clientData/>
  </xdr:twoCellAnchor>
  <xdr:twoCellAnchor editAs="oneCell">
    <xdr:from>
      <xdr:col>0</xdr:col>
      <xdr:colOff>133350</xdr:colOff>
      <xdr:row>3</xdr:row>
      <xdr:rowOff>76200</xdr:rowOff>
    </xdr:from>
    <xdr:to>
      <xdr:col>6</xdr:col>
      <xdr:colOff>342900</xdr:colOff>
      <xdr:row>15</xdr:row>
      <xdr:rowOff>85725</xdr:rowOff>
    </xdr:to>
    <xdr:pic>
      <xdr:nvPicPr>
        <xdr:cNvPr id="5282" name="Picture 60"/>
        <xdr:cNvPicPr>
          <a:picLocks noChangeAspect="1" noChangeArrowheads="1"/>
        </xdr:cNvPicPr>
      </xdr:nvPicPr>
      <xdr:blipFill>
        <a:blip xmlns:r="http://schemas.openxmlformats.org/officeDocument/2006/relationships" r:embed="rId3" cstate="print"/>
        <a:srcRect/>
        <a:stretch>
          <a:fillRect/>
        </a:stretch>
      </xdr:blipFill>
      <xdr:spPr bwMode="auto">
        <a:xfrm>
          <a:off x="133350" y="561975"/>
          <a:ext cx="3867150" cy="1952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topLeftCell="A82" zoomScale="70" zoomScaleNormal="70" workbookViewId="0">
      <selection activeCell="E30" sqref="E30"/>
    </sheetView>
  </sheetViews>
  <sheetFormatPr defaultRowHeight="15.75" customHeight="1" x14ac:dyDescent="0.2"/>
  <cols>
    <col min="1" max="1" width="7.7109375" style="1" customWidth="1"/>
    <col min="2" max="2" width="41.140625" style="1" customWidth="1"/>
    <col min="3" max="3" width="17.7109375" style="1" customWidth="1"/>
    <col min="4" max="4" width="22.5703125" style="1" customWidth="1"/>
    <col min="5" max="5" width="22.85546875" style="1" customWidth="1"/>
    <col min="6" max="6" width="23" style="1" customWidth="1"/>
    <col min="7" max="7" width="20.28515625" style="1" customWidth="1"/>
    <col min="8" max="8" width="20.85546875" style="1" customWidth="1"/>
    <col min="9" max="9" width="22.85546875" style="1" customWidth="1"/>
    <col min="10" max="10" width="26.7109375" style="1" customWidth="1"/>
    <col min="11" max="11" width="25.5703125" style="1" customWidth="1"/>
    <col min="12" max="12" width="19.5703125" style="1" customWidth="1"/>
    <col min="13" max="13" width="19.140625" style="1" customWidth="1"/>
    <col min="14" max="14" width="21.42578125" style="1" customWidth="1"/>
    <col min="15" max="15" width="18.140625" style="1" customWidth="1"/>
    <col min="16" max="16" width="19.28515625" style="1" customWidth="1"/>
    <col min="17" max="17" width="13.5703125" style="1" customWidth="1"/>
    <col min="18" max="18" width="11.7109375" style="1" customWidth="1"/>
    <col min="19" max="19" width="17.42578125" style="1" customWidth="1"/>
    <col min="20" max="20" width="15.5703125" style="1" customWidth="1"/>
    <col min="21" max="21" width="19" style="1" customWidth="1"/>
    <col min="22" max="22" width="17.140625" style="1" customWidth="1"/>
    <col min="23" max="23" width="16.42578125" style="1" customWidth="1"/>
    <col min="24" max="24" width="17.7109375" style="1" customWidth="1"/>
    <col min="25" max="25" width="15.28515625" style="1" customWidth="1"/>
    <col min="26" max="16384" width="9.140625" style="1"/>
  </cols>
  <sheetData>
    <row r="1" spans="1:13" ht="16.5" thickBot="1" x14ac:dyDescent="0.3">
      <c r="B1" s="2"/>
      <c r="C1" s="2"/>
      <c r="D1" s="2"/>
      <c r="E1" s="2"/>
      <c r="H1" s="3"/>
    </row>
    <row r="2" spans="1:13" ht="20.25" x14ac:dyDescent="0.3">
      <c r="H2" s="262" t="s">
        <v>194</v>
      </c>
      <c r="I2" s="263"/>
      <c r="J2" s="263"/>
      <c r="K2" s="264"/>
    </row>
    <row r="3" spans="1:13" ht="12.75" x14ac:dyDescent="0.2">
      <c r="H3" s="159" t="s">
        <v>191</v>
      </c>
      <c r="I3" s="154" t="s">
        <v>192</v>
      </c>
      <c r="J3" s="154" t="s">
        <v>193</v>
      </c>
      <c r="K3" s="160" t="s">
        <v>195</v>
      </c>
    </row>
    <row r="4" spans="1:13" ht="13.5" thickBot="1" x14ac:dyDescent="0.25">
      <c r="H4" s="161">
        <v>39.369999999999997</v>
      </c>
      <c r="I4" s="162">
        <v>5.6818100000000003E-2</v>
      </c>
      <c r="J4" s="162">
        <f>180/3.14</f>
        <v>57.324840764331206</v>
      </c>
      <c r="K4" s="163">
        <v>32.200000000000003</v>
      </c>
    </row>
    <row r="5" spans="1:13" ht="12.75" x14ac:dyDescent="0.2"/>
    <row r="6" spans="1:13" ht="12.75" x14ac:dyDescent="0.2"/>
    <row r="7" spans="1:13" ht="13.5" thickBot="1" x14ac:dyDescent="0.25"/>
    <row r="8" spans="1:13" ht="23.25" x14ac:dyDescent="0.2">
      <c r="B8" s="265" t="s">
        <v>181</v>
      </c>
      <c r="C8" s="266"/>
      <c r="D8" s="266"/>
      <c r="E8" s="266"/>
      <c r="F8" s="267" t="s">
        <v>183</v>
      </c>
    </row>
    <row r="9" spans="1:13" ht="24" thickBot="1" x14ac:dyDescent="0.25">
      <c r="B9" s="269" t="s">
        <v>182</v>
      </c>
      <c r="C9" s="270"/>
      <c r="D9" s="270"/>
      <c r="E9" s="270"/>
      <c r="F9" s="268"/>
    </row>
    <row r="10" spans="1:13" ht="13.5" thickBot="1" x14ac:dyDescent="0.25">
      <c r="B10" s="108"/>
      <c r="C10" s="109"/>
      <c r="D10" s="109"/>
      <c r="E10" s="109"/>
      <c r="F10" s="109"/>
    </row>
    <row r="11" spans="1:13" ht="28.5" customHeight="1" thickTop="1" x14ac:dyDescent="0.2">
      <c r="A11" s="236" t="s">
        <v>172</v>
      </c>
      <c r="B11" s="237"/>
      <c r="C11" s="237"/>
      <c r="D11" s="237"/>
      <c r="E11" s="237"/>
      <c r="F11" s="237"/>
      <c r="G11" s="237"/>
      <c r="H11" s="237"/>
      <c r="I11" s="237"/>
      <c r="J11" s="237"/>
      <c r="K11" s="237"/>
      <c r="L11" s="237"/>
      <c r="M11" s="238"/>
    </row>
    <row r="12" spans="1:13" ht="12.75" x14ac:dyDescent="0.2">
      <c r="A12" s="96"/>
      <c r="B12" s="97"/>
      <c r="C12" s="97"/>
      <c r="D12" s="97"/>
      <c r="E12" s="97"/>
      <c r="F12" s="97"/>
      <c r="G12" s="97"/>
      <c r="H12" s="97"/>
      <c r="I12" s="97"/>
      <c r="J12" s="97"/>
      <c r="K12" s="97"/>
      <c r="L12" s="97"/>
      <c r="M12" s="98"/>
    </row>
    <row r="13" spans="1:13" ht="47.25" x14ac:dyDescent="0.2">
      <c r="A13" s="96"/>
      <c r="B13" s="72" t="s">
        <v>59</v>
      </c>
      <c r="C13" s="72" t="s">
        <v>267</v>
      </c>
      <c r="D13" s="72" t="s">
        <v>179</v>
      </c>
      <c r="E13" s="72" t="s">
        <v>160</v>
      </c>
      <c r="F13" s="72" t="s">
        <v>159</v>
      </c>
      <c r="G13" s="72" t="s">
        <v>157</v>
      </c>
      <c r="H13" s="72" t="s">
        <v>260</v>
      </c>
      <c r="I13" s="72" t="s">
        <v>55</v>
      </c>
      <c r="J13" s="72" t="s">
        <v>227</v>
      </c>
      <c r="K13" s="72" t="s">
        <v>178</v>
      </c>
      <c r="L13" s="72" t="s">
        <v>61</v>
      </c>
      <c r="M13" s="98"/>
    </row>
    <row r="14" spans="1:13" ht="14.25" x14ac:dyDescent="0.2">
      <c r="A14" s="96"/>
      <c r="B14" s="137">
        <v>198</v>
      </c>
      <c r="C14" s="137">
        <f>86</f>
        <v>86</v>
      </c>
      <c r="D14" s="137">
        <v>10</v>
      </c>
      <c r="E14" s="138">
        <v>49</v>
      </c>
      <c r="F14" s="139">
        <v>62.75</v>
      </c>
      <c r="G14" s="138">
        <v>46.25</v>
      </c>
      <c r="H14" s="212">
        <f>(29/2)*12</f>
        <v>174</v>
      </c>
      <c r="I14" s="138">
        <f>6.2*H4</f>
        <v>244.09399999999999</v>
      </c>
      <c r="J14" s="212">
        <f>(PI()*2*(I14)/(18/2))*I4</f>
        <v>9.6823587491175029</v>
      </c>
      <c r="K14" s="139">
        <v>9</v>
      </c>
      <c r="L14" s="140">
        <v>3.0000000000000001E-3</v>
      </c>
      <c r="M14" s="98"/>
    </row>
    <row r="15" spans="1:13" s="2" customFormat="1" ht="45" x14ac:dyDescent="0.2">
      <c r="A15" s="96"/>
      <c r="B15" s="136"/>
      <c r="C15" s="136"/>
      <c r="D15" s="202" t="s">
        <v>259</v>
      </c>
      <c r="E15" s="202"/>
      <c r="F15" s="202"/>
      <c r="G15" s="202" t="s">
        <v>47</v>
      </c>
      <c r="H15" s="202"/>
      <c r="I15" s="271" t="s">
        <v>226</v>
      </c>
      <c r="J15" s="271"/>
      <c r="K15" s="75"/>
      <c r="L15" s="202" t="s">
        <v>103</v>
      </c>
      <c r="M15" s="166"/>
    </row>
    <row r="16" spans="1:13" s="2" customFormat="1" thickBot="1" x14ac:dyDescent="0.25">
      <c r="A16" s="117"/>
      <c r="B16" s="119"/>
      <c r="C16" s="119"/>
      <c r="D16" s="119"/>
      <c r="E16" s="119"/>
      <c r="F16" s="120"/>
      <c r="G16" s="120"/>
      <c r="H16" s="120"/>
      <c r="I16" s="121"/>
      <c r="J16" s="120"/>
      <c r="K16" s="121"/>
      <c r="L16" s="106"/>
      <c r="M16" s="122"/>
    </row>
    <row r="17" spans="1:15" ht="13.5" thickTop="1" x14ac:dyDescent="0.2">
      <c r="B17" s="115"/>
      <c r="C17" s="116"/>
      <c r="D17" s="116"/>
      <c r="E17" s="116"/>
      <c r="F17" s="116"/>
      <c r="G17" s="114"/>
      <c r="H17" s="114"/>
      <c r="I17" s="114"/>
      <c r="J17" s="114"/>
    </row>
    <row r="18" spans="1:15" ht="12.75" x14ac:dyDescent="0.2">
      <c r="B18" s="115"/>
      <c r="C18" s="116"/>
      <c r="D18" s="116"/>
      <c r="E18" s="116"/>
      <c r="F18" s="116"/>
      <c r="G18" s="114"/>
      <c r="H18" s="114"/>
      <c r="I18" s="114"/>
      <c r="J18" s="114"/>
    </row>
    <row r="19" spans="1:15" ht="12.75" x14ac:dyDescent="0.2">
      <c r="B19" s="108"/>
      <c r="C19" s="109"/>
      <c r="D19" s="109"/>
      <c r="E19" s="109"/>
      <c r="F19" s="109"/>
    </row>
    <row r="20" spans="1:15" ht="13.5" thickBot="1" x14ac:dyDescent="0.25"/>
    <row r="21" spans="1:15" ht="28.5" customHeight="1" thickTop="1" x14ac:dyDescent="0.2">
      <c r="A21" s="236" t="s">
        <v>168</v>
      </c>
      <c r="B21" s="237"/>
      <c r="C21" s="237"/>
      <c r="D21" s="237"/>
      <c r="E21" s="237"/>
      <c r="F21" s="237"/>
      <c r="G21" s="238"/>
      <c r="H21" s="97"/>
      <c r="I21" s="97"/>
      <c r="J21" s="97"/>
      <c r="K21" s="97"/>
    </row>
    <row r="22" spans="1:15" ht="12.75" x14ac:dyDescent="0.2">
      <c r="A22" s="96"/>
      <c r="B22" s="97"/>
      <c r="C22" s="97"/>
      <c r="D22" s="97"/>
      <c r="E22" s="97"/>
      <c r="F22" s="97"/>
      <c r="G22" s="98"/>
      <c r="H22" s="97"/>
      <c r="I22" s="97"/>
      <c r="J22" s="97" t="s">
        <v>278</v>
      </c>
      <c r="K22" s="97"/>
    </row>
    <row r="23" spans="1:15" s="6" customFormat="1" thickBot="1" x14ac:dyDescent="0.25">
      <c r="A23" s="96"/>
      <c r="B23" s="97"/>
      <c r="C23" s="97"/>
      <c r="D23" s="97"/>
      <c r="E23" s="97"/>
      <c r="F23" s="97"/>
      <c r="G23" s="98"/>
      <c r="H23" s="97"/>
      <c r="I23" s="97"/>
      <c r="J23" s="97"/>
      <c r="K23" s="97"/>
    </row>
    <row r="24" spans="1:15" thickBot="1" x14ac:dyDescent="0.3">
      <c r="A24" s="96"/>
      <c r="B24" s="248" t="s">
        <v>261</v>
      </c>
      <c r="C24" s="248"/>
      <c r="D24" s="97"/>
      <c r="E24" s="248" t="s">
        <v>262</v>
      </c>
      <c r="F24" s="248"/>
      <c r="G24" s="98"/>
      <c r="H24" s="97"/>
      <c r="I24" s="97"/>
      <c r="J24" s="97"/>
      <c r="K24" s="97"/>
      <c r="L24" s="5"/>
    </row>
    <row r="25" spans="1:15" ht="15" thickBot="1" x14ac:dyDescent="0.25">
      <c r="A25" s="96"/>
      <c r="B25" s="52" t="s">
        <v>228</v>
      </c>
      <c r="C25" s="52" t="s">
        <v>229</v>
      </c>
      <c r="D25" s="97"/>
      <c r="E25" s="52" t="s">
        <v>228</v>
      </c>
      <c r="F25" s="52" t="s">
        <v>229</v>
      </c>
      <c r="G25" s="98"/>
      <c r="H25" s="97"/>
      <c r="I25" s="97"/>
      <c r="J25" s="97"/>
      <c r="K25" s="97" t="s">
        <v>261</v>
      </c>
      <c r="L25" s="5"/>
      <c r="N25" s="1" t="s">
        <v>262</v>
      </c>
    </row>
    <row r="26" spans="1:15" ht="15" thickBot="1" x14ac:dyDescent="0.25">
      <c r="A26" s="96"/>
      <c r="B26" s="213">
        <v>170</v>
      </c>
      <c r="C26" s="213">
        <f>B26</f>
        <v>170</v>
      </c>
      <c r="D26" s="97"/>
      <c r="E26" s="214">
        <f>B26/C34</f>
        <v>0.2073170731707317</v>
      </c>
      <c r="F26" s="214">
        <f>C26/C34</f>
        <v>0.2073170731707317</v>
      </c>
      <c r="G26" s="98"/>
      <c r="H26" s="97"/>
      <c r="I26" s="97"/>
      <c r="J26" s="97"/>
      <c r="K26" s="97" t="s">
        <v>228</v>
      </c>
      <c r="L26" s="5" t="s">
        <v>229</v>
      </c>
      <c r="N26" s="1" t="s">
        <v>228</v>
      </c>
      <c r="O26" s="1" t="s">
        <v>229</v>
      </c>
    </row>
    <row r="27" spans="1:15" ht="15" thickBot="1" x14ac:dyDescent="0.25">
      <c r="A27" s="96"/>
      <c r="B27" s="52"/>
      <c r="C27" s="52"/>
      <c r="D27" s="97"/>
      <c r="E27" s="52"/>
      <c r="F27" s="52"/>
      <c r="G27" s="98"/>
      <c r="H27" s="97"/>
      <c r="I27" s="97"/>
      <c r="J27" s="97"/>
      <c r="K27" s="97">
        <v>160</v>
      </c>
      <c r="L27" s="5">
        <v>160</v>
      </c>
      <c r="N27" s="1">
        <v>0.2</v>
      </c>
      <c r="O27" s="1">
        <v>0.2</v>
      </c>
    </row>
    <row r="28" spans="1:15" ht="15" thickBot="1" x14ac:dyDescent="0.25">
      <c r="A28" s="96"/>
      <c r="B28" s="52" t="s">
        <v>230</v>
      </c>
      <c r="C28" s="52" t="s">
        <v>231</v>
      </c>
      <c r="D28" s="97"/>
      <c r="E28" s="52" t="s">
        <v>230</v>
      </c>
      <c r="F28" s="52" t="s">
        <v>231</v>
      </c>
      <c r="G28" s="98"/>
      <c r="H28" s="97"/>
      <c r="I28" s="97"/>
      <c r="J28" s="97"/>
      <c r="K28" s="97"/>
      <c r="L28" s="5"/>
    </row>
    <row r="29" spans="1:15" ht="15" thickBot="1" x14ac:dyDescent="0.25">
      <c r="A29" s="96"/>
      <c r="B29" s="213">
        <v>240</v>
      </c>
      <c r="C29" s="213">
        <f>B29</f>
        <v>240</v>
      </c>
      <c r="D29" s="97"/>
      <c r="E29" s="214">
        <f>B29/C34</f>
        <v>0.29268292682926828</v>
      </c>
      <c r="F29" s="214">
        <f>C29/C34</f>
        <v>0.29268292682926828</v>
      </c>
      <c r="G29" s="98"/>
      <c r="H29" s="97"/>
      <c r="I29" s="97"/>
      <c r="J29" s="97"/>
      <c r="K29" s="97" t="s">
        <v>230</v>
      </c>
      <c r="L29" s="5" t="s">
        <v>231</v>
      </c>
      <c r="N29" s="1" t="s">
        <v>230</v>
      </c>
      <c r="O29" s="1" t="s">
        <v>231</v>
      </c>
    </row>
    <row r="30" spans="1:15" ht="14.25" x14ac:dyDescent="0.2">
      <c r="A30" s="96"/>
      <c r="B30" s="97"/>
      <c r="C30" s="97"/>
      <c r="D30" s="97"/>
      <c r="E30" s="97"/>
      <c r="F30" s="97"/>
      <c r="G30" s="98"/>
      <c r="H30" s="97"/>
      <c r="I30" s="97"/>
      <c r="J30" s="97"/>
      <c r="K30" s="97">
        <v>240</v>
      </c>
      <c r="L30" s="5">
        <v>240</v>
      </c>
      <c r="N30" s="1">
        <v>0.3</v>
      </c>
      <c r="O30" s="1">
        <v>0.3</v>
      </c>
    </row>
    <row r="31" spans="1:15" ht="15" thickBot="1" x14ac:dyDescent="0.25">
      <c r="A31" s="96"/>
      <c r="B31" s="97"/>
      <c r="C31" s="97"/>
      <c r="D31" s="97"/>
      <c r="E31" s="97"/>
      <c r="F31" s="97"/>
      <c r="G31" s="98"/>
      <c r="H31" s="97"/>
      <c r="I31" s="97"/>
      <c r="J31" s="97"/>
      <c r="K31" s="97"/>
      <c r="L31" s="5"/>
    </row>
    <row r="32" spans="1:15" ht="21" thickBot="1" x14ac:dyDescent="0.25">
      <c r="A32" s="96"/>
      <c r="B32" s="249" t="s">
        <v>174</v>
      </c>
      <c r="C32" s="250"/>
      <c r="D32" s="251"/>
      <c r="E32" s="97"/>
      <c r="F32" s="52" t="s">
        <v>268</v>
      </c>
      <c r="G32" s="98"/>
      <c r="H32" s="97"/>
      <c r="I32" s="97"/>
      <c r="J32" s="97"/>
      <c r="K32" s="97"/>
      <c r="L32" s="5" t="s">
        <v>174</v>
      </c>
    </row>
    <row r="33" spans="1:27" thickBot="1" x14ac:dyDescent="0.3">
      <c r="A33" s="96"/>
      <c r="B33" s="95"/>
      <c r="C33" s="204" t="s">
        <v>233</v>
      </c>
      <c r="D33" s="204" t="s">
        <v>169</v>
      </c>
      <c r="E33" s="97"/>
      <c r="F33" s="214"/>
      <c r="G33" s="98"/>
      <c r="H33" s="97"/>
      <c r="I33" s="97"/>
      <c r="J33" s="97"/>
      <c r="K33" s="97"/>
      <c r="L33" s="5"/>
      <c r="M33" s="1" t="s">
        <v>233</v>
      </c>
      <c r="N33" s="1" t="s">
        <v>169</v>
      </c>
    </row>
    <row r="34" spans="1:27" thickBot="1" x14ac:dyDescent="0.3">
      <c r="A34" s="96"/>
      <c r="B34" s="95" t="s">
        <v>170</v>
      </c>
      <c r="C34" s="211">
        <f>SUM(B26,C26,B29,C29)</f>
        <v>820</v>
      </c>
      <c r="D34" s="211">
        <f>C34-173</f>
        <v>647</v>
      </c>
      <c r="E34" s="97"/>
      <c r="F34" s="97"/>
      <c r="G34" s="98"/>
      <c r="H34" s="97"/>
      <c r="I34" s="97"/>
      <c r="J34" s="97"/>
      <c r="K34" s="97"/>
      <c r="L34" s="5" t="s">
        <v>170</v>
      </c>
      <c r="M34" s="1">
        <v>800</v>
      </c>
      <c r="N34" s="1">
        <v>627</v>
      </c>
    </row>
    <row r="35" spans="1:27" ht="15" thickBot="1" x14ac:dyDescent="0.25">
      <c r="A35" s="96"/>
      <c r="B35" s="142"/>
      <c r="C35" s="143"/>
      <c r="D35" s="144"/>
      <c r="E35" s="205"/>
      <c r="F35" s="97"/>
      <c r="G35" s="98"/>
      <c r="H35" s="97"/>
      <c r="I35" s="97"/>
      <c r="J35" s="97"/>
      <c r="K35" s="97"/>
      <c r="L35" s="5"/>
    </row>
    <row r="36" spans="1:27" thickBot="1" x14ac:dyDescent="0.25">
      <c r="A36" s="96"/>
      <c r="B36" s="242" t="s">
        <v>24</v>
      </c>
      <c r="C36" s="242"/>
      <c r="D36" s="242"/>
      <c r="E36" s="205"/>
      <c r="F36" s="97"/>
      <c r="G36" s="98"/>
      <c r="H36" s="97"/>
      <c r="I36" s="97"/>
      <c r="J36" s="97"/>
      <c r="K36" s="97"/>
      <c r="L36" s="5" t="s">
        <v>24</v>
      </c>
    </row>
    <row r="37" spans="1:27" ht="30.75" thickBot="1" x14ac:dyDescent="0.25">
      <c r="A37" s="96"/>
      <c r="B37" s="215" t="s">
        <v>264</v>
      </c>
      <c r="C37" s="215" t="s">
        <v>265</v>
      </c>
      <c r="D37" s="215" t="s">
        <v>266</v>
      </c>
      <c r="E37" s="97"/>
      <c r="F37" s="97">
        <f>B14/2</f>
        <v>99</v>
      </c>
      <c r="G37" s="98"/>
      <c r="H37" s="97"/>
      <c r="I37" s="97"/>
      <c r="J37" s="97"/>
      <c r="K37" s="97"/>
      <c r="L37" s="1" t="s">
        <v>264</v>
      </c>
      <c r="M37" s="1" t="s">
        <v>265</v>
      </c>
      <c r="N37" s="1" t="s">
        <v>266</v>
      </c>
    </row>
    <row r="38" spans="1:27" ht="15.75" customHeight="1" thickBot="1" x14ac:dyDescent="0.25">
      <c r="A38" s="96"/>
      <c r="B38" s="135">
        <f>((C26+C29)/C34-0.5)*G14</f>
        <v>0</v>
      </c>
      <c r="C38" s="135">
        <f>(B14-(((B29+C29)/C34)*C14)-E14)</f>
        <v>98.658536585365852</v>
      </c>
      <c r="D38" s="135">
        <v>23.08</v>
      </c>
      <c r="E38" s="97"/>
      <c r="F38" s="97"/>
      <c r="G38" s="98"/>
      <c r="H38" s="97"/>
      <c r="I38" s="97"/>
      <c r="J38" s="97"/>
      <c r="K38" s="97"/>
      <c r="L38" s="5">
        <v>0</v>
      </c>
      <c r="M38" s="1">
        <v>97.4</v>
      </c>
      <c r="N38" s="1">
        <v>23.08</v>
      </c>
    </row>
    <row r="39" spans="1:27" thickBot="1" x14ac:dyDescent="0.25">
      <c r="A39" s="117"/>
      <c r="B39" s="106"/>
      <c r="C39" s="216">
        <v>90.5</v>
      </c>
      <c r="D39" s="216" t="s">
        <v>269</v>
      </c>
      <c r="E39" s="106"/>
      <c r="F39" s="106"/>
      <c r="G39" s="107"/>
      <c r="H39" s="97">
        <f>D46*2</f>
        <v>58.536585365853654</v>
      </c>
      <c r="I39" s="97"/>
      <c r="J39" s="97"/>
      <c r="K39" s="97"/>
    </row>
    <row r="40" spans="1:27" ht="13.5" thickTop="1" x14ac:dyDescent="0.2">
      <c r="A40" s="97"/>
      <c r="B40" s="97"/>
      <c r="C40" s="97"/>
      <c r="D40" s="97"/>
      <c r="E40" s="97"/>
      <c r="F40" s="97"/>
      <c r="G40" s="97"/>
      <c r="H40" s="97">
        <f>C46*2</f>
        <v>41.463414634146339</v>
      </c>
      <c r="I40" s="97"/>
      <c r="J40" s="97"/>
      <c r="K40" s="97"/>
    </row>
    <row r="41" spans="1:27" s="13" customFormat="1" x14ac:dyDescent="0.2"/>
    <row r="42" spans="1:27" ht="30.75" customHeight="1" x14ac:dyDescent="0.4">
      <c r="A42" s="246" t="s">
        <v>173</v>
      </c>
      <c r="B42" s="247"/>
      <c r="C42" s="247"/>
      <c r="D42" s="247"/>
      <c r="E42" s="247"/>
      <c r="F42" s="247"/>
      <c r="G42" s="247"/>
      <c r="H42" s="247"/>
      <c r="I42" s="247"/>
      <c r="J42" s="247"/>
      <c r="K42" s="247"/>
      <c r="L42" s="247"/>
      <c r="M42" s="247"/>
      <c r="N42" s="247"/>
      <c r="O42" s="247"/>
      <c r="AA42" s="45"/>
    </row>
    <row r="43" spans="1:27" ht="13.5" thickBot="1" x14ac:dyDescent="0.25">
      <c r="A43" s="96"/>
      <c r="B43" s="97"/>
      <c r="C43" s="97"/>
      <c r="D43" s="97"/>
      <c r="E43" s="97"/>
      <c r="F43" s="97"/>
      <c r="G43" s="97"/>
      <c r="H43" s="97"/>
      <c r="I43" s="97"/>
      <c r="J43" s="97"/>
      <c r="K43" s="97"/>
      <c r="L43" s="174">
        <f>67/13.5</f>
        <v>4.9629629629629628</v>
      </c>
      <c r="M43" s="97">
        <v>67</v>
      </c>
      <c r="N43" s="97"/>
    </row>
    <row r="44" spans="1:27" ht="21.75" thickTop="1" thickBot="1" x14ac:dyDescent="0.25">
      <c r="A44" s="96"/>
      <c r="B44" s="243" t="s">
        <v>184</v>
      </c>
      <c r="C44" s="244"/>
      <c r="D44" s="244"/>
      <c r="E44" s="244"/>
      <c r="F44" s="244"/>
      <c r="G44" s="245"/>
      <c r="H44" s="97"/>
      <c r="I44" s="97"/>
      <c r="J44" s="175" t="s">
        <v>225</v>
      </c>
      <c r="K44" s="173">
        <f>L44-L43</f>
        <v>0.71119434040782359</v>
      </c>
      <c r="L44" s="173">
        <f>101/17.8</f>
        <v>5.6741573033707864</v>
      </c>
      <c r="M44" s="97">
        <v>101</v>
      </c>
      <c r="N44" s="97">
        <f>M44-M43</f>
        <v>34</v>
      </c>
      <c r="O44" s="1">
        <f>(K45-K44)/N44</f>
        <v>4.0113966663580343E-3</v>
      </c>
    </row>
    <row r="45" spans="1:27" ht="66.75" customHeight="1" thickBot="1" x14ac:dyDescent="0.25">
      <c r="A45" s="96"/>
      <c r="B45" s="123" t="s">
        <v>58</v>
      </c>
      <c r="C45" s="49" t="s">
        <v>29</v>
      </c>
      <c r="D45" s="49" t="s">
        <v>276</v>
      </c>
      <c r="E45" s="49" t="s">
        <v>277</v>
      </c>
      <c r="F45" s="49" t="s">
        <v>270</v>
      </c>
      <c r="G45" s="125" t="s">
        <v>66</v>
      </c>
      <c r="H45" s="97"/>
      <c r="I45" s="97"/>
      <c r="J45" s="97"/>
      <c r="K45" s="173">
        <f>L45-L44</f>
        <v>0.84758182706399676</v>
      </c>
      <c r="L45" s="173">
        <f>135/20.7</f>
        <v>6.5217391304347831</v>
      </c>
      <c r="M45" s="97">
        <v>135</v>
      </c>
      <c r="N45" s="97">
        <f>M45-M44</f>
        <v>34</v>
      </c>
      <c r="O45" s="1">
        <f>(K46-K45)/N45</f>
        <v>4.1293789212509188E-3</v>
      </c>
    </row>
    <row r="46" spans="1:27" ht="15" x14ac:dyDescent="0.2">
      <c r="A46" s="96"/>
      <c r="B46" s="132">
        <f>((B29+C29)/C34)*C14+E14</f>
        <v>99.341463414634148</v>
      </c>
      <c r="C46" s="133">
        <f>E26*100</f>
        <v>20.73170731707317</v>
      </c>
      <c r="D46" s="133">
        <f>E29*100</f>
        <v>29.268292682926827</v>
      </c>
      <c r="E46" s="133">
        <f>B14*(1/H4)</f>
        <v>5.0292100584201176</v>
      </c>
      <c r="F46" s="133">
        <f>C14*0.5+F14</f>
        <v>105.75</v>
      </c>
      <c r="G46" s="134">
        <f>J4*C14/I14+(H51-I51)</f>
        <v>15.633103997714825</v>
      </c>
      <c r="H46" s="97"/>
      <c r="I46" s="97"/>
      <c r="J46" s="97"/>
      <c r="K46" s="173">
        <f>K45+(K45-K44)-(N45-N46)*O44</f>
        <v>0.98798071038652802</v>
      </c>
      <c r="L46" s="173">
        <f>(K46)+L45</f>
        <v>7.5097198408213108</v>
      </c>
      <c r="M46" s="174">
        <f>C34*C46/100</f>
        <v>170</v>
      </c>
      <c r="N46" s="174">
        <f>M46-M45</f>
        <v>35</v>
      </c>
      <c r="O46" s="1">
        <f>(K47-K46)/N46</f>
        <v>7.3878465460982548E-2</v>
      </c>
    </row>
    <row r="47" spans="1:27" ht="105.75" thickBot="1" x14ac:dyDescent="0.25">
      <c r="A47" s="96"/>
      <c r="B47" s="126"/>
      <c r="C47" s="127"/>
      <c r="D47" s="128" t="s">
        <v>203</v>
      </c>
      <c r="E47" s="217"/>
      <c r="F47" s="128" t="s">
        <v>46</v>
      </c>
      <c r="G47" s="129" t="s">
        <v>99</v>
      </c>
      <c r="H47" s="97"/>
      <c r="I47" s="97"/>
      <c r="J47" s="97"/>
      <c r="K47" s="173">
        <f>K46+(K46-K45)-(N46-N47)*O44</f>
        <v>3.5737270015209175</v>
      </c>
      <c r="L47" s="173">
        <f>(K47)+L46</f>
        <v>11.083446842342228</v>
      </c>
      <c r="M47" s="174">
        <f>B46*C34/100</f>
        <v>814.6</v>
      </c>
      <c r="N47" s="97">
        <f>M47-M46</f>
        <v>644.6</v>
      </c>
    </row>
    <row r="48" spans="1:27" ht="14.25" thickTop="1" thickBot="1" x14ac:dyDescent="0.25">
      <c r="A48" s="96"/>
      <c r="B48" s="97"/>
      <c r="C48" s="97"/>
      <c r="D48" s="97"/>
      <c r="E48" s="97"/>
      <c r="F48" s="97"/>
      <c r="G48" s="97"/>
      <c r="H48" s="97"/>
      <c r="I48" s="97"/>
      <c r="J48" s="97"/>
      <c r="K48" s="97"/>
      <c r="L48" s="97"/>
      <c r="M48" s="97"/>
      <c r="N48" s="98"/>
    </row>
    <row r="49" spans="1:15" ht="21.75" thickTop="1" thickBot="1" x14ac:dyDescent="0.25">
      <c r="A49" s="96"/>
      <c r="B49" s="243" t="s">
        <v>175</v>
      </c>
      <c r="C49" s="244"/>
      <c r="D49" s="244"/>
      <c r="E49" s="244"/>
      <c r="F49" s="244"/>
      <c r="G49" s="244"/>
      <c r="H49" s="244"/>
      <c r="I49" s="244"/>
      <c r="J49" s="244"/>
      <c r="K49" s="244"/>
      <c r="L49" s="245"/>
      <c r="M49" s="97"/>
      <c r="N49" s="97"/>
      <c r="O49" s="98"/>
    </row>
    <row r="50" spans="1:15" ht="53.25" customHeight="1" thickBot="1" x14ac:dyDescent="0.25">
      <c r="A50" s="96"/>
      <c r="B50" s="130" t="s">
        <v>49</v>
      </c>
      <c r="C50" s="49" t="s">
        <v>86</v>
      </c>
      <c r="D50" s="49" t="s">
        <v>60</v>
      </c>
      <c r="E50" s="49" t="s">
        <v>62</v>
      </c>
      <c r="F50" s="49" t="s">
        <v>281</v>
      </c>
      <c r="G50" s="49" t="s">
        <v>54</v>
      </c>
      <c r="H50" s="49" t="s">
        <v>64</v>
      </c>
      <c r="I50" s="49" t="s">
        <v>165</v>
      </c>
      <c r="J50" s="49" t="s">
        <v>105</v>
      </c>
      <c r="K50" s="49" t="s">
        <v>241</v>
      </c>
      <c r="L50" s="153" t="s">
        <v>223</v>
      </c>
      <c r="M50" s="97"/>
      <c r="N50" s="97"/>
      <c r="O50" s="98"/>
    </row>
    <row r="51" spans="1:15" ht="15" x14ac:dyDescent="0.2">
      <c r="A51" s="96"/>
      <c r="B51" s="132">
        <f>C38-F46</f>
        <v>-7.0914634146341484</v>
      </c>
      <c r="C51" s="133">
        <f>((J14/I4)/12)^2/(K4*I14/12)</f>
        <v>0.30788937666839272</v>
      </c>
      <c r="D51" s="133">
        <f>C34*((J14/I4)/12)^2/(K4*I14/12)</f>
        <v>252.469288868082</v>
      </c>
      <c r="E51" s="133">
        <f>(C46*C34/100)/(L47)</f>
        <v>15.338188779915189</v>
      </c>
      <c r="F51" s="133">
        <f>E51</f>
        <v>15.338188779915189</v>
      </c>
      <c r="G51" s="133">
        <f>((2*C46/100)*C34/(2*E51))-((2*D46/100)*C34/(2*F51))</f>
        <v>-4.5637722291997402</v>
      </c>
      <c r="H51" s="134">
        <f>(C46/100)*C34/E51</f>
        <v>11.083446842342228</v>
      </c>
      <c r="I51" s="132">
        <f>(D46/100)*C34/F51</f>
        <v>15.647219071541969</v>
      </c>
      <c r="J51" s="133">
        <f>(SQRT(-C14*K4*12/G51))*I4</f>
        <v>4.8483337773164008</v>
      </c>
      <c r="K51" s="133">
        <f>((J51/I4))^2/(K4*I14*12)</f>
        <v>7.7200015162350019E-2</v>
      </c>
      <c r="L51" s="134">
        <f>K51/C51</f>
        <v>0.2507394571313743</v>
      </c>
      <c r="M51" s="97"/>
      <c r="N51" s="97"/>
      <c r="O51" s="98"/>
    </row>
    <row r="52" spans="1:15" ht="135.75" thickBot="1" x14ac:dyDescent="0.25">
      <c r="A52" s="96"/>
      <c r="B52" s="131" t="s">
        <v>202</v>
      </c>
      <c r="C52" s="128"/>
      <c r="D52" s="128" t="s">
        <v>207</v>
      </c>
      <c r="E52" s="128"/>
      <c r="F52" s="128"/>
      <c r="G52" s="128" t="s">
        <v>201</v>
      </c>
      <c r="H52" s="128"/>
      <c r="I52" s="128"/>
      <c r="J52" s="128" t="s">
        <v>213</v>
      </c>
      <c r="K52" s="203"/>
      <c r="L52" s="128" t="s">
        <v>224</v>
      </c>
      <c r="M52" s="97"/>
      <c r="N52" s="97"/>
      <c r="O52" s="98"/>
    </row>
    <row r="53" spans="1:15" ht="14.25" thickTop="1" thickBot="1" x14ac:dyDescent="0.25">
      <c r="A53" s="96"/>
      <c r="B53" s="97"/>
      <c r="C53" s="97"/>
      <c r="D53" s="97"/>
      <c r="E53" s="97"/>
      <c r="F53" s="97"/>
      <c r="G53" s="97"/>
      <c r="H53" s="97"/>
      <c r="I53" s="97"/>
      <c r="J53" s="124"/>
      <c r="K53" s="97"/>
      <c r="L53" s="97"/>
      <c r="M53" s="97"/>
      <c r="N53" s="98"/>
    </row>
    <row r="54" spans="1:15" ht="21" thickTop="1" x14ac:dyDescent="0.2">
      <c r="A54" s="96"/>
      <c r="B54" s="252" t="s">
        <v>176</v>
      </c>
      <c r="C54" s="253"/>
      <c r="D54" s="253"/>
      <c r="E54" s="253"/>
      <c r="F54" s="254"/>
      <c r="G54" s="197"/>
      <c r="H54" s="97"/>
      <c r="I54" s="97"/>
      <c r="J54" s="97"/>
      <c r="K54" s="97"/>
      <c r="L54" s="97"/>
      <c r="M54" s="97"/>
      <c r="N54" s="98"/>
    </row>
    <row r="55" spans="1:15" ht="77.25" customHeight="1" x14ac:dyDescent="0.2">
      <c r="A55" s="96"/>
      <c r="B55" s="123" t="s">
        <v>73</v>
      </c>
      <c r="C55" s="72" t="s">
        <v>74</v>
      </c>
      <c r="D55" s="72" t="s">
        <v>76</v>
      </c>
      <c r="E55" s="170" t="s">
        <v>240</v>
      </c>
      <c r="F55" s="198" t="s">
        <v>242</v>
      </c>
      <c r="G55" s="97"/>
      <c r="H55" s="109" t="s">
        <v>212</v>
      </c>
      <c r="I55" s="97"/>
      <c r="J55" s="97"/>
      <c r="K55" s="97"/>
      <c r="L55" s="97"/>
      <c r="M55" s="97"/>
      <c r="N55" s="99"/>
      <c r="O55" s="5"/>
    </row>
    <row r="56" spans="1:15" ht="15" x14ac:dyDescent="0.2">
      <c r="A56" s="96"/>
      <c r="B56" s="132">
        <f>D51/(C46/100*C34)</f>
        <v>1.4851134639298942</v>
      </c>
      <c r="C56" s="133">
        <f>D51/(D46/100*C34)</f>
        <v>1.051955370283675</v>
      </c>
      <c r="D56" s="133">
        <f>F14*(F46-(B14-C38-D14))/(2*D38*F46)</f>
        <v>0.21092953909553105</v>
      </c>
      <c r="E56" s="133">
        <f>D56/C51</f>
        <v>0.68508222458974055</v>
      </c>
      <c r="F56" s="134">
        <f>SQRT(D56*(K4*12)*G14*I4^2)</f>
        <v>3.4884285810204272</v>
      </c>
      <c r="G56" s="97"/>
      <c r="H56" s="172" t="s">
        <v>222</v>
      </c>
      <c r="I56" s="97"/>
      <c r="J56" s="97"/>
      <c r="K56" s="97"/>
      <c r="L56" s="97"/>
      <c r="M56" s="97"/>
      <c r="N56" s="99"/>
      <c r="O56" s="5"/>
    </row>
    <row r="57" spans="1:15" ht="140.25" customHeight="1" thickBot="1" x14ac:dyDescent="0.25">
      <c r="A57" s="96"/>
      <c r="B57" s="255" t="s">
        <v>246</v>
      </c>
      <c r="C57" s="256"/>
      <c r="D57" s="257" t="s">
        <v>198</v>
      </c>
      <c r="E57" s="258"/>
      <c r="F57" s="129" t="s">
        <v>245</v>
      </c>
      <c r="G57" s="97"/>
      <c r="H57" s="97"/>
      <c r="I57" s="97"/>
      <c r="J57" s="97"/>
      <c r="K57" s="97"/>
      <c r="L57" s="97"/>
      <c r="M57" s="97"/>
      <c r="N57" s="98"/>
    </row>
    <row r="58" spans="1:15" ht="18.75" customHeight="1" thickTop="1" thickBot="1" x14ac:dyDescent="0.25">
      <c r="A58" s="96"/>
      <c r="B58" s="97"/>
      <c r="C58" s="97"/>
      <c r="D58" s="97"/>
      <c r="E58" s="97"/>
      <c r="F58" s="97"/>
      <c r="G58" s="97"/>
      <c r="H58" s="97"/>
      <c r="I58" s="97"/>
      <c r="J58" s="97"/>
      <c r="K58" s="97"/>
      <c r="L58" s="97"/>
      <c r="M58" s="97"/>
      <c r="N58" s="98"/>
    </row>
    <row r="59" spans="1:15" ht="21.75" thickTop="1" thickBot="1" x14ac:dyDescent="0.25">
      <c r="A59" s="96"/>
      <c r="B59" s="243" t="s">
        <v>177</v>
      </c>
      <c r="C59" s="244"/>
      <c r="D59" s="244"/>
      <c r="E59" s="244"/>
      <c r="F59" s="244"/>
      <c r="G59" s="244"/>
      <c r="H59" s="244"/>
      <c r="I59" s="245"/>
      <c r="J59" s="97"/>
      <c r="K59" s="97"/>
      <c r="L59" s="97"/>
      <c r="M59" s="97"/>
      <c r="N59" s="98"/>
    </row>
    <row r="60" spans="1:15" ht="84.75" customHeight="1" thickBot="1" x14ac:dyDescent="0.35">
      <c r="A60" s="96"/>
      <c r="B60" s="130" t="s">
        <v>91</v>
      </c>
      <c r="C60" s="49" t="s">
        <v>92</v>
      </c>
      <c r="D60" s="49" t="s">
        <v>89</v>
      </c>
      <c r="E60" s="49" t="s">
        <v>90</v>
      </c>
      <c r="F60" s="49" t="s">
        <v>82</v>
      </c>
      <c r="G60" s="49" t="s">
        <v>83</v>
      </c>
      <c r="H60" s="49" t="s">
        <v>85</v>
      </c>
      <c r="I60" s="153" t="s">
        <v>94</v>
      </c>
      <c r="J60" s="97"/>
      <c r="K60" s="200">
        <f>(D51)*C66</f>
        <v>5826.9911870753322</v>
      </c>
      <c r="L60" s="97"/>
      <c r="M60" s="97"/>
      <c r="N60" s="98"/>
    </row>
    <row r="61" spans="1:15" ht="20.25" x14ac:dyDescent="0.3">
      <c r="A61" s="96"/>
      <c r="B61" s="132">
        <f>0.5*D38/((B10-D10)-C38)</f>
        <v>-0.11696909765142151</v>
      </c>
      <c r="C61" s="133">
        <f>D38/((B10-D10)-C38)</f>
        <v>-0.23393819530284302</v>
      </c>
      <c r="D61" s="133">
        <f>-H61*B61</f>
        <v>-28.072583436341159</v>
      </c>
      <c r="E61" s="133">
        <f>-H61*C61</f>
        <v>-56.145166872682317</v>
      </c>
      <c r="F61" s="132">
        <f>(0.5*C34*D38-(E46/100)*(V55-D61)-((B10-D10)-C38)*C34)/E46</f>
        <v>17967.312385276742</v>
      </c>
      <c r="G61" s="133">
        <f>(0.5*C34*D38-(E46/100)*(W55-E61)-((B10-D10)-C38)*C34)/E46</f>
        <v>17967.031659442382</v>
      </c>
      <c r="H61" s="133">
        <f>-D46*C34/100</f>
        <v>-239.99999999999997</v>
      </c>
      <c r="I61" s="133">
        <f>ABS(H61/E61)</f>
        <v>4.2746333009257302</v>
      </c>
      <c r="J61" s="97"/>
      <c r="K61" s="200">
        <f>E66*-B66</f>
        <v>0</v>
      </c>
      <c r="L61" s="97"/>
      <c r="M61" s="97"/>
      <c r="N61" s="98"/>
    </row>
    <row r="62" spans="1:15" ht="138" thickBot="1" x14ac:dyDescent="0.25">
      <c r="A62" s="96"/>
      <c r="B62" s="131" t="s">
        <v>75</v>
      </c>
      <c r="C62" s="203" t="s">
        <v>75</v>
      </c>
      <c r="D62" s="203"/>
      <c r="E62" s="203"/>
      <c r="F62" s="203" t="s">
        <v>196</v>
      </c>
      <c r="G62" s="203" t="s">
        <v>197</v>
      </c>
      <c r="H62" s="203"/>
      <c r="I62" s="129"/>
      <c r="J62" s="97"/>
      <c r="K62" s="1" t="e">
        <f>G66/C34</f>
        <v>#DIV/0!</v>
      </c>
      <c r="N62" s="98"/>
    </row>
    <row r="63" spans="1:15" ht="14.25" thickTop="1" thickBot="1" x14ac:dyDescent="0.25">
      <c r="A63" s="96"/>
      <c r="B63" s="97"/>
      <c r="C63" s="97"/>
      <c r="D63" s="97"/>
      <c r="E63" s="97"/>
      <c r="F63" s="97"/>
      <c r="G63" s="97"/>
      <c r="H63" s="97"/>
      <c r="I63" s="97"/>
      <c r="J63" s="97"/>
      <c r="L63" s="97"/>
      <c r="M63" s="97"/>
      <c r="N63" s="98"/>
    </row>
    <row r="64" spans="1:15" ht="21.75" thickTop="1" thickBot="1" x14ac:dyDescent="0.25">
      <c r="A64" s="96"/>
      <c r="B64" s="259" t="s">
        <v>204</v>
      </c>
      <c r="C64" s="260"/>
      <c r="D64" s="260"/>
      <c r="E64" s="260"/>
      <c r="F64" s="260"/>
      <c r="G64" s="260"/>
      <c r="H64" s="260"/>
      <c r="I64" s="260"/>
      <c r="J64" s="261"/>
      <c r="N64" s="98"/>
    </row>
    <row r="65" spans="1:14" ht="80.25" thickTop="1" thickBot="1" x14ac:dyDescent="0.25">
      <c r="A65" s="96"/>
      <c r="B65" s="186" t="s">
        <v>206</v>
      </c>
      <c r="C65" s="187" t="s">
        <v>205</v>
      </c>
      <c r="D65" s="187" t="s">
        <v>219</v>
      </c>
      <c r="E65" s="187" t="s">
        <v>215</v>
      </c>
      <c r="F65" s="188" t="s">
        <v>209</v>
      </c>
      <c r="G65" s="188" t="s">
        <v>214</v>
      </c>
      <c r="H65" s="188" t="s">
        <v>217</v>
      </c>
      <c r="I65" s="187" t="s">
        <v>210</v>
      </c>
      <c r="J65" s="206" t="s">
        <v>211</v>
      </c>
      <c r="K65" s="49" t="s">
        <v>251</v>
      </c>
      <c r="L65" s="210" t="s">
        <v>218</v>
      </c>
      <c r="N65" s="98"/>
    </row>
    <row r="66" spans="1:14" ht="15" x14ac:dyDescent="0.2">
      <c r="A66" s="96"/>
      <c r="B66" s="168">
        <v>0</v>
      </c>
      <c r="C66" s="133">
        <f>D38-B66</f>
        <v>23.08</v>
      </c>
      <c r="D66" s="133" t="e">
        <f>((G66))*C51</f>
        <v>#DIV/0!</v>
      </c>
      <c r="E66" s="133">
        <f>C51*F66</f>
        <v>52.341194033626763</v>
      </c>
      <c r="F66" s="133">
        <f>C46*C34/100</f>
        <v>170</v>
      </c>
      <c r="G66" s="133" t="e">
        <f>F66-I66</f>
        <v>#DIV/0!</v>
      </c>
      <c r="H66" s="133" t="e">
        <f>F66+I66</f>
        <v>#DIV/0!</v>
      </c>
      <c r="I66" s="133" t="e">
        <f>-((D51)*C66+E66*-B66)/F10</f>
        <v>#DIV/0!</v>
      </c>
      <c r="J66" s="207" t="e">
        <f>ABS(F66/I66)</f>
        <v>#DIV/0!</v>
      </c>
      <c r="K66" s="207" t="e">
        <f>D66/G66</f>
        <v>#DIV/0!</v>
      </c>
      <c r="L66" s="207" t="e">
        <f>K51/K66</f>
        <v>#DIV/0!</v>
      </c>
    </row>
    <row r="67" spans="1:14" ht="205.5" customHeight="1" thickBot="1" x14ac:dyDescent="0.25">
      <c r="A67" s="96"/>
      <c r="B67" s="131" t="s">
        <v>252</v>
      </c>
      <c r="C67" s="203"/>
      <c r="D67" s="203" t="s">
        <v>220</v>
      </c>
      <c r="E67" s="203"/>
      <c r="F67" s="239" t="s">
        <v>216</v>
      </c>
      <c r="G67" s="240"/>
      <c r="H67" s="241"/>
      <c r="I67" s="203" t="s">
        <v>208</v>
      </c>
      <c r="J67" s="208" t="s">
        <v>221</v>
      </c>
      <c r="K67" s="209"/>
      <c r="L67" s="208" t="s">
        <v>253</v>
      </c>
      <c r="N67" s="98"/>
    </row>
    <row r="68" spans="1:14" ht="285" customHeight="1" thickTop="1" x14ac:dyDescent="0.2">
      <c r="A68" s="96"/>
      <c r="B68" s="276" t="s">
        <v>254</v>
      </c>
      <c r="C68" s="276"/>
      <c r="D68" s="276"/>
      <c r="E68" s="276"/>
      <c r="F68" s="276"/>
      <c r="G68" s="276"/>
      <c r="H68" s="276"/>
      <c r="I68" s="276"/>
      <c r="J68" s="276"/>
      <c r="K68" s="276"/>
      <c r="L68" s="276"/>
      <c r="M68" s="276"/>
      <c r="N68" s="98"/>
    </row>
    <row r="69" spans="1:14" ht="24" customHeight="1" thickBot="1" x14ac:dyDescent="0.25">
      <c r="I69" s="1" t="e">
        <f>-((D51*C66)-(2*C34*(C46/100)*-B66*C51))/(2*-B66*C51+F10)</f>
        <v>#DIV/0!</v>
      </c>
    </row>
    <row r="70" spans="1:14" ht="27" thickTop="1" thickBot="1" x14ac:dyDescent="0.4">
      <c r="B70" s="259" t="s">
        <v>236</v>
      </c>
      <c r="C70" s="260"/>
      <c r="D70" s="260"/>
      <c r="E70" s="260"/>
      <c r="F70" s="260"/>
      <c r="G70" s="260"/>
      <c r="H70" s="260"/>
      <c r="I70" s="260"/>
      <c r="J70" s="261"/>
      <c r="L70" s="191" t="s">
        <v>238</v>
      </c>
    </row>
    <row r="71" spans="1:14" ht="16.5" thickTop="1" x14ac:dyDescent="0.2">
      <c r="B71" s="186" t="s">
        <v>237</v>
      </c>
      <c r="C71" s="187" t="s">
        <v>6</v>
      </c>
      <c r="D71" s="187" t="s">
        <v>6</v>
      </c>
      <c r="E71" s="187" t="s">
        <v>6</v>
      </c>
      <c r="F71" s="188" t="s">
        <v>6</v>
      </c>
      <c r="G71" s="188" t="s">
        <v>6</v>
      </c>
      <c r="H71" s="188" t="s">
        <v>6</v>
      </c>
      <c r="I71" s="187" t="s">
        <v>6</v>
      </c>
      <c r="J71" s="189" t="s">
        <v>6</v>
      </c>
    </row>
    <row r="72" spans="1:14" ht="15" x14ac:dyDescent="0.2">
      <c r="B72" s="168" t="s">
        <v>6</v>
      </c>
      <c r="C72" s="133" t="s">
        <v>6</v>
      </c>
      <c r="D72" s="133" t="s">
        <v>6</v>
      </c>
      <c r="E72" s="133" t="s">
        <v>6</v>
      </c>
      <c r="F72" s="133" t="s">
        <v>6</v>
      </c>
      <c r="G72" s="133" t="s">
        <v>6</v>
      </c>
      <c r="H72" s="133" t="e">
        <f>F72+I72</f>
        <v>#VALUE!</v>
      </c>
      <c r="I72" s="133" t="s">
        <v>6</v>
      </c>
      <c r="J72" s="134" t="s">
        <v>6</v>
      </c>
    </row>
    <row r="73" spans="1:14" ht="15.75" customHeight="1" thickBot="1" x14ac:dyDescent="0.25">
      <c r="B73" s="131"/>
      <c r="C73" s="203"/>
      <c r="D73" s="203" t="s">
        <v>6</v>
      </c>
      <c r="E73" s="203"/>
      <c r="F73" s="239" t="s">
        <v>6</v>
      </c>
      <c r="G73" s="240"/>
      <c r="H73" s="241"/>
      <c r="I73" s="203" t="s">
        <v>6</v>
      </c>
      <c r="J73" s="129" t="s">
        <v>6</v>
      </c>
      <c r="K73" s="190" t="s">
        <v>235</v>
      </c>
      <c r="L73" s="190" t="s">
        <v>235</v>
      </c>
      <c r="M73" s="190" t="s">
        <v>235</v>
      </c>
    </row>
    <row r="74" spans="1:14" ht="15.75" customHeight="1" thickTop="1" x14ac:dyDescent="0.2">
      <c r="E74" s="169"/>
    </row>
    <row r="75" spans="1:14" ht="15.75" customHeight="1" x14ac:dyDescent="0.4">
      <c r="B75" s="199" t="s">
        <v>248</v>
      </c>
    </row>
    <row r="76" spans="1:14" ht="30" x14ac:dyDescent="0.4">
      <c r="B76" s="199" t="s">
        <v>249</v>
      </c>
    </row>
    <row r="77" spans="1:14" ht="15.75" customHeight="1" x14ac:dyDescent="0.4">
      <c r="B77" s="199" t="s">
        <v>250</v>
      </c>
    </row>
    <row r="78" spans="1:14" ht="15.75" customHeight="1" thickBot="1" x14ac:dyDescent="0.45">
      <c r="B78" s="199"/>
    </row>
    <row r="79" spans="1:14" ht="34.5" customHeight="1" thickTop="1" thickBot="1" x14ac:dyDescent="0.25">
      <c r="B79" s="259" t="s">
        <v>258</v>
      </c>
      <c r="C79" s="260"/>
      <c r="D79" s="260"/>
      <c r="E79" s="260"/>
      <c r="F79" s="260"/>
      <c r="G79" s="260"/>
      <c r="H79" s="260"/>
      <c r="I79" s="260"/>
      <c r="J79" s="261"/>
    </row>
    <row r="80" spans="1:14" ht="21" customHeight="1" thickTop="1" x14ac:dyDescent="0.2">
      <c r="B80" s="96"/>
      <c r="C80" s="97"/>
      <c r="D80" s="97"/>
      <c r="E80" s="97"/>
      <c r="F80" s="97"/>
      <c r="G80" s="97"/>
      <c r="H80" s="97"/>
      <c r="I80" s="97"/>
      <c r="J80" s="97"/>
      <c r="K80" s="98"/>
    </row>
    <row r="81" spans="2:11" ht="15.75" customHeight="1" x14ac:dyDescent="0.2">
      <c r="B81" s="100"/>
      <c r="C81" s="112" t="s">
        <v>4</v>
      </c>
      <c r="D81" s="110" t="s">
        <v>280</v>
      </c>
      <c r="E81" s="110" t="s">
        <v>5</v>
      </c>
      <c r="F81" s="111" t="s">
        <v>279</v>
      </c>
      <c r="G81" s="110" t="s">
        <v>9</v>
      </c>
      <c r="H81" s="110" t="s">
        <v>10</v>
      </c>
      <c r="I81" s="113" t="s">
        <v>11</v>
      </c>
      <c r="J81" s="101"/>
    </row>
    <row r="82" spans="2:11" ht="15.75" customHeight="1" x14ac:dyDescent="0.2">
      <c r="B82" s="96"/>
      <c r="C82" s="227" t="s">
        <v>12</v>
      </c>
      <c r="D82" s="228"/>
      <c r="E82" s="145">
        <v>100</v>
      </c>
      <c r="F82" s="145">
        <v>0</v>
      </c>
      <c r="G82" s="21">
        <f t="shared" ref="G82:G89" si="0">F82*E82</f>
        <v>0</v>
      </c>
      <c r="H82" s="86" t="e">
        <f>#REF!*E82</f>
        <v>#REF!</v>
      </c>
      <c r="I82" s="87" t="e">
        <f>#REF!*E82</f>
        <v>#REF!</v>
      </c>
      <c r="J82" s="98"/>
    </row>
    <row r="83" spans="2:11" ht="15.75" customHeight="1" x14ac:dyDescent="0.2">
      <c r="B83" s="96"/>
      <c r="C83" s="146" t="s">
        <v>189</v>
      </c>
      <c r="D83" s="190"/>
      <c r="E83" s="147">
        <v>35</v>
      </c>
      <c r="F83" s="148">
        <v>0</v>
      </c>
      <c r="G83" s="29">
        <f t="shared" si="0"/>
        <v>0</v>
      </c>
      <c r="H83" s="86" t="e">
        <f>#REF!*E83</f>
        <v>#REF!</v>
      </c>
      <c r="I83" s="87" t="e">
        <f>#REF!*E83</f>
        <v>#REF!</v>
      </c>
      <c r="J83" s="98"/>
    </row>
    <row r="84" spans="2:11" ht="15.75" customHeight="1" x14ac:dyDescent="0.2">
      <c r="B84" s="96"/>
      <c r="C84" s="146" t="s">
        <v>14</v>
      </c>
      <c r="D84" s="190"/>
      <c r="E84" s="147">
        <v>9</v>
      </c>
      <c r="F84" s="148">
        <v>0</v>
      </c>
      <c r="G84" s="29">
        <f t="shared" si="0"/>
        <v>0</v>
      </c>
      <c r="H84" s="86" t="e">
        <f>#REF!*E84</f>
        <v>#REF!</v>
      </c>
      <c r="I84" s="87" t="e">
        <f>#REF!*E84</f>
        <v>#REF!</v>
      </c>
      <c r="J84" s="98"/>
    </row>
    <row r="85" spans="2:11" ht="15.75" customHeight="1" x14ac:dyDescent="0.2">
      <c r="B85" s="96"/>
      <c r="C85" s="146" t="s">
        <v>188</v>
      </c>
      <c r="D85" s="190"/>
      <c r="E85" s="148">
        <v>173</v>
      </c>
      <c r="F85" s="148">
        <v>0</v>
      </c>
      <c r="G85" s="29">
        <f t="shared" si="0"/>
        <v>0</v>
      </c>
      <c r="H85" s="86" t="e">
        <f>#REF!*E85</f>
        <v>#REF!</v>
      </c>
      <c r="I85" s="87" t="e">
        <f>#REF!*E85</f>
        <v>#REF!</v>
      </c>
      <c r="J85" s="98"/>
    </row>
    <row r="86" spans="2:11" ht="15.75" customHeight="1" x14ac:dyDescent="0.2">
      <c r="B86" s="96"/>
      <c r="C86" s="146" t="s">
        <v>187</v>
      </c>
      <c r="D86" s="190"/>
      <c r="E86" s="148">
        <v>30</v>
      </c>
      <c r="F86" s="148">
        <v>0</v>
      </c>
      <c r="G86" s="29">
        <f t="shared" si="0"/>
        <v>0</v>
      </c>
      <c r="H86" s="86" t="e">
        <f>#REF!*E86</f>
        <v>#REF!</v>
      </c>
      <c r="I86" s="87" t="e">
        <f>#REF!*E86</f>
        <v>#REF!</v>
      </c>
      <c r="J86" s="98"/>
    </row>
    <row r="87" spans="2:11" ht="15.75" customHeight="1" x14ac:dyDescent="0.2">
      <c r="B87" s="96"/>
      <c r="C87" s="146" t="s">
        <v>17</v>
      </c>
      <c r="D87" s="190"/>
      <c r="E87" s="148">
        <v>62</v>
      </c>
      <c r="F87" s="148">
        <v>0</v>
      </c>
      <c r="G87" s="29">
        <f t="shared" si="0"/>
        <v>0</v>
      </c>
      <c r="H87" s="86" t="e">
        <f>#REF!*E87</f>
        <v>#REF!</v>
      </c>
      <c r="I87" s="87" t="e">
        <f>#REF!*E87</f>
        <v>#REF!</v>
      </c>
      <c r="J87" s="98"/>
    </row>
    <row r="88" spans="2:11" ht="15.75" customHeight="1" x14ac:dyDescent="0.2">
      <c r="B88" s="96"/>
      <c r="C88" s="146" t="s">
        <v>186</v>
      </c>
      <c r="D88" s="190"/>
      <c r="E88" s="148">
        <v>10</v>
      </c>
      <c r="F88" s="148">
        <v>0</v>
      </c>
      <c r="G88" s="29">
        <f t="shared" si="0"/>
        <v>0</v>
      </c>
      <c r="H88" s="86" t="e">
        <f>#REF!*E88</f>
        <v>#REF!</v>
      </c>
      <c r="I88" s="87" t="e">
        <f>#REF!*E88</f>
        <v>#REF!</v>
      </c>
      <c r="J88" s="98"/>
    </row>
    <row r="89" spans="2:11" ht="15.75" customHeight="1" x14ac:dyDescent="0.2">
      <c r="B89" s="96"/>
      <c r="C89" s="146" t="s">
        <v>185</v>
      </c>
      <c r="D89" s="190"/>
      <c r="E89" s="148">
        <v>70</v>
      </c>
      <c r="F89" s="148">
        <v>0</v>
      </c>
      <c r="G89" s="29">
        <f t="shared" si="0"/>
        <v>0</v>
      </c>
      <c r="H89" s="86" t="e">
        <f>#REF!*E89</f>
        <v>#REF!</v>
      </c>
      <c r="I89" s="87" t="e">
        <f>#REF!*E89</f>
        <v>#REF!</v>
      </c>
      <c r="J89" s="98"/>
    </row>
    <row r="90" spans="2:11" ht="15.75" customHeight="1" x14ac:dyDescent="0.2">
      <c r="B90" s="96"/>
      <c r="C90" s="146" t="s">
        <v>32</v>
      </c>
      <c r="D90" s="190"/>
      <c r="E90" s="148">
        <v>60</v>
      </c>
      <c r="F90" s="148">
        <v>0</v>
      </c>
      <c r="G90" s="29">
        <f>F90*E90</f>
        <v>0</v>
      </c>
      <c r="H90" s="86" t="e">
        <f>#REF!*E90</f>
        <v>#REF!</v>
      </c>
      <c r="I90" s="87" t="e">
        <f>#REF!*E90</f>
        <v>#REF!</v>
      </c>
      <c r="J90" s="98"/>
    </row>
    <row r="91" spans="2:11" ht="15.75" customHeight="1" x14ac:dyDescent="0.2">
      <c r="B91" s="96"/>
      <c r="C91" s="150" t="s">
        <v>190</v>
      </c>
      <c r="D91" s="230"/>
      <c r="E91" s="151">
        <v>60</v>
      </c>
      <c r="F91" s="152">
        <v>0</v>
      </c>
      <c r="G91" s="24">
        <f>F91*E91</f>
        <v>0</v>
      </c>
      <c r="H91" s="88" t="e">
        <f>#REF!*E91</f>
        <v>#REF!</v>
      </c>
      <c r="I91" s="89" t="e">
        <f>#REF!*E91</f>
        <v>#REF!</v>
      </c>
      <c r="J91" s="98"/>
    </row>
    <row r="92" spans="2:11" ht="15.75" customHeight="1" x14ac:dyDescent="0.2">
      <c r="B92" s="96"/>
      <c r="C92" s="229"/>
      <c r="D92" s="229"/>
      <c r="E92" s="229"/>
      <c r="F92" s="229"/>
      <c r="G92" s="229"/>
      <c r="H92" s="29"/>
      <c r="I92" s="229"/>
      <c r="J92" s="229"/>
      <c r="K92" s="98"/>
    </row>
    <row r="93" spans="2:11" ht="15.75" customHeight="1" x14ac:dyDescent="0.2">
      <c r="B93" s="96"/>
      <c r="C93" s="229"/>
      <c r="D93" s="229"/>
      <c r="E93" s="229"/>
      <c r="F93" s="229"/>
      <c r="G93" s="229"/>
      <c r="H93" s="29"/>
      <c r="I93" s="229"/>
      <c r="J93" s="229"/>
      <c r="K93" s="99"/>
    </row>
    <row r="94" spans="2:11" ht="15.75" customHeight="1" thickBot="1" x14ac:dyDescent="0.25">
      <c r="B94" s="96"/>
      <c r="C94" s="229"/>
      <c r="D94" s="229"/>
      <c r="E94" s="229"/>
      <c r="F94" s="229"/>
      <c r="G94" s="229"/>
      <c r="H94" s="29"/>
      <c r="I94" s="229"/>
      <c r="J94" s="229"/>
      <c r="K94" s="99"/>
    </row>
    <row r="95" spans="2:11" ht="15.75" customHeight="1" thickBot="1" x14ac:dyDescent="0.25">
      <c r="B95" s="96"/>
      <c r="C95" s="272" t="s">
        <v>174</v>
      </c>
      <c r="D95" s="272"/>
      <c r="E95" s="272"/>
      <c r="F95" s="97"/>
      <c r="G95" s="273" t="s">
        <v>180</v>
      </c>
      <c r="H95" s="274"/>
      <c r="I95" s="274"/>
      <c r="J95" s="275"/>
      <c r="K95" s="98"/>
    </row>
    <row r="96" spans="2:11" ht="15.75" customHeight="1" thickBot="1" x14ac:dyDescent="0.3">
      <c r="B96" s="96"/>
      <c r="C96" s="226"/>
      <c r="D96" s="225" t="s">
        <v>233</v>
      </c>
      <c r="E96" s="225" t="s">
        <v>169</v>
      </c>
      <c r="F96" s="97"/>
      <c r="G96" s="155" t="s">
        <v>199</v>
      </c>
      <c r="H96" s="229">
        <f>SUM(G82:G91)</f>
        <v>0</v>
      </c>
      <c r="I96" s="229"/>
      <c r="J96" s="156"/>
      <c r="K96" s="99"/>
    </row>
    <row r="97" spans="2:11" ht="15.75" customHeight="1" thickBot="1" x14ac:dyDescent="0.3">
      <c r="B97" s="96"/>
      <c r="C97" s="226" t="s">
        <v>170</v>
      </c>
      <c r="D97" s="135">
        <f>SUM(E82:E91)</f>
        <v>609</v>
      </c>
      <c r="E97" s="135">
        <f>D97-173</f>
        <v>436</v>
      </c>
      <c r="F97" s="97"/>
      <c r="G97" s="155" t="s">
        <v>200</v>
      </c>
      <c r="H97" s="229"/>
      <c r="I97" s="102" t="e">
        <f>SUM(H82:H91)</f>
        <v>#REF!</v>
      </c>
      <c r="J97" s="156"/>
      <c r="K97" s="98"/>
    </row>
    <row r="98" spans="2:11" ht="15.75" customHeight="1" thickBot="1" x14ac:dyDescent="0.3">
      <c r="B98" s="96"/>
      <c r="C98" s="142"/>
      <c r="D98" s="143"/>
      <c r="E98" s="144"/>
      <c r="F98" s="97">
        <f>D111*D97*F106/100</f>
        <v>0</v>
      </c>
      <c r="G98" s="157" t="s">
        <v>200</v>
      </c>
      <c r="H98" s="25"/>
      <c r="I98" s="25"/>
      <c r="J98" s="158" t="e">
        <f>SUM(I82:I91)</f>
        <v>#REF!</v>
      </c>
      <c r="K98" s="98"/>
    </row>
    <row r="99" spans="2:11" ht="15.75" customHeight="1" thickBot="1" x14ac:dyDescent="0.25">
      <c r="B99" s="96"/>
      <c r="C99" s="242" t="s">
        <v>24</v>
      </c>
      <c r="D99" s="242"/>
      <c r="E99" s="242"/>
      <c r="F99" s="229"/>
      <c r="G99" s="229"/>
      <c r="H99" s="29"/>
      <c r="I99" s="29"/>
      <c r="J99" s="29"/>
      <c r="K99" s="99"/>
    </row>
    <row r="100" spans="2:11" ht="15.75" customHeight="1" thickBot="1" x14ac:dyDescent="0.3">
      <c r="B100" s="103"/>
      <c r="C100" s="49" t="s">
        <v>25</v>
      </c>
      <c r="D100" s="49" t="s">
        <v>26</v>
      </c>
      <c r="E100" s="49" t="s">
        <v>27</v>
      </c>
      <c r="F100" s="229"/>
      <c r="G100" s="229"/>
      <c r="H100" s="229"/>
      <c r="I100" s="229"/>
      <c r="J100" s="229"/>
      <c r="K100" s="99"/>
    </row>
    <row r="101" spans="2:11" ht="15.75" customHeight="1" thickBot="1" x14ac:dyDescent="0.3">
      <c r="B101" s="103"/>
      <c r="C101" s="135">
        <f>H96/D97</f>
        <v>0</v>
      </c>
      <c r="D101" s="135" t="e">
        <f>I97/D97</f>
        <v>#REF!</v>
      </c>
      <c r="E101" s="135" t="e">
        <f>J98/D97</f>
        <v>#REF!</v>
      </c>
      <c r="F101" s="229"/>
      <c r="G101" s="229"/>
      <c r="H101" s="229"/>
      <c r="I101" s="229"/>
      <c r="J101" s="229"/>
      <c r="K101" s="101"/>
    </row>
    <row r="102" spans="2:11" ht="15.75" customHeight="1" thickBot="1" x14ac:dyDescent="0.3">
      <c r="B102" s="104"/>
      <c r="C102" s="105"/>
      <c r="D102" s="105"/>
      <c r="E102" s="105"/>
      <c r="F102" s="106"/>
      <c r="G102" s="106"/>
      <c r="H102" s="106"/>
      <c r="I102" s="106"/>
      <c r="J102" s="106"/>
      <c r="K102" s="107"/>
    </row>
    <row r="103" spans="2:11" ht="15.75" customHeight="1" thickTop="1" x14ac:dyDescent="0.2"/>
    <row r="104" spans="2:11" ht="15.75" customHeight="1" x14ac:dyDescent="0.2">
      <c r="B104" s="1" t="s">
        <v>6</v>
      </c>
      <c r="C104" s="1" t="s">
        <v>6</v>
      </c>
      <c r="D104" s="1" t="s">
        <v>6</v>
      </c>
      <c r="E104" s="1" t="s">
        <v>6</v>
      </c>
      <c r="F104" s="1" t="s">
        <v>6</v>
      </c>
      <c r="G104" s="1" t="s">
        <v>6</v>
      </c>
      <c r="H104" s="1" t="e">
        <f>F104+I104</f>
        <v>#VALUE!</v>
      </c>
      <c r="I104" s="1" t="s">
        <v>6</v>
      </c>
      <c r="J104" s="1" t="s">
        <v>6</v>
      </c>
    </row>
    <row r="105" spans="2:11" ht="15.75" customHeight="1" x14ac:dyDescent="0.2">
      <c r="D105" s="1" t="s">
        <v>6</v>
      </c>
      <c r="F105" s="1" t="s">
        <v>6</v>
      </c>
      <c r="I105" s="1" t="s">
        <v>6</v>
      </c>
      <c r="J105" s="1" t="s">
        <v>6</v>
      </c>
    </row>
    <row r="106" spans="2:11" ht="15.75" customHeight="1" x14ac:dyDescent="0.4">
      <c r="B106" s="199"/>
    </row>
    <row r="107" spans="2:11" s="232" customFormat="1" ht="24" customHeight="1" x14ac:dyDescent="0.4">
      <c r="B107" s="231"/>
      <c r="C107" s="232" t="s">
        <v>256</v>
      </c>
      <c r="D107" s="233" t="s">
        <v>255</v>
      </c>
    </row>
    <row r="108" spans="2:11" ht="15.75" customHeight="1" x14ac:dyDescent="0.4">
      <c r="B108" s="199"/>
    </row>
    <row r="109" spans="2:11" ht="24" customHeight="1" x14ac:dyDescent="0.4">
      <c r="B109" s="199" t="s">
        <v>257</v>
      </c>
    </row>
    <row r="110" spans="2:11" ht="15.75" customHeight="1" x14ac:dyDescent="0.4">
      <c r="B110" s="199"/>
    </row>
    <row r="111" spans="2:11" ht="15.75" customHeight="1" x14ac:dyDescent="0.4">
      <c r="B111" s="199"/>
    </row>
    <row r="112" spans="2:11" ht="15.75" customHeight="1" x14ac:dyDescent="0.4">
      <c r="B112" s="199"/>
    </row>
    <row r="113" spans="2:2" ht="15.75" customHeight="1" x14ac:dyDescent="0.4">
      <c r="B113" s="199"/>
    </row>
  </sheetData>
  <mergeCells count="27">
    <mergeCell ref="C95:E95"/>
    <mergeCell ref="G95:J95"/>
    <mergeCell ref="C99:E99"/>
    <mergeCell ref="B68:M68"/>
    <mergeCell ref="B70:J70"/>
    <mergeCell ref="F73:H73"/>
    <mergeCell ref="B79:J79"/>
    <mergeCell ref="H2:K2"/>
    <mergeCell ref="B8:E8"/>
    <mergeCell ref="F8:F9"/>
    <mergeCell ref="B9:E9"/>
    <mergeCell ref="I15:J15"/>
    <mergeCell ref="A21:G21"/>
    <mergeCell ref="A11:M11"/>
    <mergeCell ref="F67:H67"/>
    <mergeCell ref="B36:D36"/>
    <mergeCell ref="B44:G44"/>
    <mergeCell ref="B49:L49"/>
    <mergeCell ref="A42:O42"/>
    <mergeCell ref="B24:C24"/>
    <mergeCell ref="E24:F24"/>
    <mergeCell ref="B32:D32"/>
    <mergeCell ref="B54:F54"/>
    <mergeCell ref="B57:C57"/>
    <mergeCell ref="D57:E57"/>
    <mergeCell ref="B59:I59"/>
    <mergeCell ref="B64:J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27"/>
  <sheetViews>
    <sheetView tabSelected="1" zoomScale="70" zoomScaleNormal="70" workbookViewId="0">
      <selection activeCell="M19" sqref="M19"/>
    </sheetView>
  </sheetViews>
  <sheetFormatPr defaultRowHeight="15.75" customHeight="1" x14ac:dyDescent="0.2"/>
  <cols>
    <col min="1" max="1" width="3.7109375" style="326" customWidth="1"/>
    <col min="2" max="2" width="4.28515625" style="1" customWidth="1"/>
    <col min="3" max="3" width="7.5703125" style="1" customWidth="1"/>
    <col min="4" max="4" width="32.140625" style="1" customWidth="1"/>
    <col min="5" max="5" width="20" style="1" customWidth="1"/>
    <col min="6" max="6" width="22.5703125" style="1" customWidth="1"/>
    <col min="7" max="7" width="22.85546875" style="1" customWidth="1"/>
    <col min="8" max="8" width="23" style="1" customWidth="1"/>
    <col min="9" max="9" width="20.28515625" style="1" customWidth="1"/>
    <col min="10" max="10" width="20.85546875" style="1" customWidth="1"/>
    <col min="11" max="11" width="22.85546875" style="1" customWidth="1"/>
    <col min="12" max="12" width="26.7109375" style="1" customWidth="1"/>
    <col min="13" max="13" width="18.7109375" style="1" customWidth="1"/>
    <col min="14" max="14" width="26.42578125" style="1" customWidth="1"/>
    <col min="15" max="16" width="3.5703125" style="1" customWidth="1"/>
    <col min="17" max="17" width="4.42578125" style="1" customWidth="1"/>
    <col min="18" max="18" width="19.28515625" style="326" customWidth="1"/>
    <col min="19" max="19" width="13.5703125" style="326" customWidth="1"/>
    <col min="20" max="20" width="11.7109375" style="326" customWidth="1"/>
    <col min="21" max="21" width="17.42578125" style="326" customWidth="1"/>
    <col min="22" max="22" width="15.5703125" style="326" customWidth="1"/>
    <col min="23" max="23" width="19" style="326" customWidth="1"/>
    <col min="24" max="24" width="17.140625" style="326" customWidth="1"/>
    <col min="25" max="25" width="16.42578125" style="326" customWidth="1"/>
    <col min="26" max="26" width="17.7109375" style="326" customWidth="1"/>
    <col min="27" max="27" width="15.28515625" style="326" customWidth="1"/>
    <col min="28" max="59" width="9.140625" style="326"/>
    <col min="60" max="16384" width="9.140625" style="1"/>
  </cols>
  <sheetData>
    <row r="1" spans="1:59" s="326" customFormat="1" ht="15.75" customHeight="1" x14ac:dyDescent="0.2"/>
    <row r="2" spans="1:59" ht="15.75" customHeight="1" thickBot="1" x14ac:dyDescent="0.3">
      <c r="D2" s="2"/>
      <c r="E2" s="2"/>
      <c r="F2" s="2"/>
      <c r="G2" s="2"/>
      <c r="J2" s="3"/>
    </row>
    <row r="3" spans="1:59" ht="22.5" customHeight="1" x14ac:dyDescent="0.3">
      <c r="D3" s="286" t="s">
        <v>41</v>
      </c>
      <c r="E3" s="287"/>
      <c r="F3" s="287"/>
      <c r="G3" s="287"/>
      <c r="H3" s="288"/>
      <c r="J3" s="262" t="s">
        <v>194</v>
      </c>
      <c r="K3" s="263"/>
      <c r="L3" s="263"/>
      <c r="M3" s="264"/>
    </row>
    <row r="4" spans="1:59" ht="16.5" customHeight="1" x14ac:dyDescent="0.2">
      <c r="D4" s="164" t="s">
        <v>72</v>
      </c>
      <c r="E4" s="289" t="s">
        <v>71</v>
      </c>
      <c r="F4" s="290"/>
      <c r="G4" s="290"/>
      <c r="H4" s="291"/>
      <c r="J4" s="192" t="s">
        <v>191</v>
      </c>
      <c r="K4" s="171" t="s">
        <v>192</v>
      </c>
      <c r="L4" s="171" t="s">
        <v>193</v>
      </c>
      <c r="M4" s="193" t="s">
        <v>239</v>
      </c>
    </row>
    <row r="5" spans="1:59" ht="15.75" customHeight="1" thickBot="1" x14ac:dyDescent="0.25">
      <c r="D5" s="164" t="s">
        <v>51</v>
      </c>
      <c r="E5" s="289" t="s">
        <v>42</v>
      </c>
      <c r="F5" s="290"/>
      <c r="G5" s="290"/>
      <c r="H5" s="291"/>
      <c r="J5" s="194">
        <v>39.369999999999997</v>
      </c>
      <c r="K5" s="196">
        <v>5.6818100000000003E-2</v>
      </c>
      <c r="L5" s="196">
        <f>180/3.14</f>
        <v>57.324840764331206</v>
      </c>
      <c r="M5" s="195">
        <v>32.200000000000003</v>
      </c>
    </row>
    <row r="6" spans="1:59" ht="15.75" customHeight="1" x14ac:dyDescent="0.2">
      <c r="D6" s="164" t="s">
        <v>52</v>
      </c>
      <c r="E6" s="289" t="s">
        <v>43</v>
      </c>
      <c r="F6" s="290"/>
      <c r="G6" s="290"/>
      <c r="H6" s="291"/>
    </row>
    <row r="7" spans="1:59" ht="15.75" customHeight="1" thickBot="1" x14ac:dyDescent="0.25">
      <c r="D7" s="165" t="s">
        <v>53</v>
      </c>
      <c r="E7" s="292" t="s">
        <v>44</v>
      </c>
      <c r="F7" s="293"/>
      <c r="G7" s="293"/>
      <c r="H7" s="294"/>
    </row>
    <row r="8" spans="1:59" ht="15.75" customHeight="1" thickBot="1" x14ac:dyDescent="0.25">
      <c r="D8" s="108"/>
      <c r="E8" s="109"/>
      <c r="F8" s="109"/>
      <c r="G8" s="109"/>
      <c r="H8" s="109"/>
    </row>
    <row r="9" spans="1:59" ht="31.5" customHeight="1" x14ac:dyDescent="0.2">
      <c r="D9" s="265" t="s">
        <v>283</v>
      </c>
      <c r="E9" s="266"/>
      <c r="F9" s="266"/>
      <c r="G9" s="266"/>
      <c r="H9" s="267" t="s">
        <v>183</v>
      </c>
    </row>
    <row r="10" spans="1:59" ht="45" customHeight="1" thickBot="1" x14ac:dyDescent="0.25">
      <c r="D10" s="269" t="s">
        <v>284</v>
      </c>
      <c r="E10" s="270"/>
      <c r="F10" s="270"/>
      <c r="G10" s="270"/>
      <c r="H10" s="268"/>
    </row>
    <row r="11" spans="1:59" ht="15.75" customHeight="1" thickBot="1" x14ac:dyDescent="0.25">
      <c r="D11" s="108"/>
      <c r="E11" s="109"/>
      <c r="F11" s="109"/>
      <c r="G11" s="109"/>
      <c r="H11" s="109"/>
    </row>
    <row r="12" spans="1:59" ht="36" customHeight="1" thickTop="1" thickBot="1" x14ac:dyDescent="0.25">
      <c r="C12" s="236" t="s">
        <v>172</v>
      </c>
      <c r="D12" s="237"/>
      <c r="E12" s="237"/>
      <c r="F12" s="237"/>
      <c r="G12" s="237"/>
      <c r="H12" s="237"/>
      <c r="I12" s="237"/>
      <c r="J12" s="237"/>
      <c r="K12" s="237"/>
      <c r="L12" s="237"/>
      <c r="M12" s="238"/>
    </row>
    <row r="13" spans="1:59" ht="25.5" customHeight="1" x14ac:dyDescent="0.25">
      <c r="C13" s="96"/>
      <c r="D13" s="97"/>
      <c r="E13" s="97"/>
      <c r="F13" s="97"/>
      <c r="G13" s="97"/>
      <c r="H13" s="97"/>
      <c r="I13" s="278" t="s">
        <v>232</v>
      </c>
      <c r="J13" s="279"/>
      <c r="K13" s="97"/>
      <c r="L13" s="97"/>
      <c r="M13" s="98"/>
    </row>
    <row r="14" spans="1:59" ht="101.25" customHeight="1" x14ac:dyDescent="0.2">
      <c r="C14" s="96"/>
      <c r="D14" s="72" t="s">
        <v>272</v>
      </c>
      <c r="E14" s="72" t="s">
        <v>179</v>
      </c>
      <c r="F14" s="72" t="s">
        <v>160</v>
      </c>
      <c r="G14" s="72" t="s">
        <v>275</v>
      </c>
      <c r="H14" s="176" t="s">
        <v>157</v>
      </c>
      <c r="I14" s="182" t="s">
        <v>55</v>
      </c>
      <c r="J14" s="183" t="s">
        <v>227</v>
      </c>
      <c r="K14" s="179" t="s">
        <v>178</v>
      </c>
      <c r="L14" s="72" t="s">
        <v>61</v>
      </c>
      <c r="M14" s="98"/>
    </row>
    <row r="15" spans="1:59" ht="33" customHeight="1" x14ac:dyDescent="0.2">
      <c r="C15" s="96"/>
      <c r="D15" s="137">
        <v>156</v>
      </c>
      <c r="E15" s="137">
        <v>6</v>
      </c>
      <c r="F15" s="138">
        <v>30</v>
      </c>
      <c r="G15" s="139">
        <v>9</v>
      </c>
      <c r="H15" s="177">
        <v>60</v>
      </c>
      <c r="I15" s="184">
        <f>6.2*J5</f>
        <v>244.09399999999999</v>
      </c>
      <c r="J15" s="185">
        <f>(PI()*2*(I15)/(18/2))*K5</f>
        <v>9.6823587491175029</v>
      </c>
      <c r="K15" s="180">
        <v>9</v>
      </c>
      <c r="L15" s="140">
        <v>3.0000000000000001E-3</v>
      </c>
      <c r="M15" s="98"/>
    </row>
    <row r="16" spans="1:59" s="2" customFormat="1" ht="107.25" customHeight="1" thickBot="1" x14ac:dyDescent="0.25">
      <c r="A16" s="345"/>
      <c r="C16" s="96"/>
      <c r="D16" s="136"/>
      <c r="E16" s="136"/>
      <c r="F16" s="136"/>
      <c r="G16" s="136"/>
      <c r="H16" s="178" t="s">
        <v>47</v>
      </c>
      <c r="I16" s="281" t="s">
        <v>226</v>
      </c>
      <c r="J16" s="282"/>
      <c r="K16" s="181"/>
      <c r="L16" s="118" t="s">
        <v>103</v>
      </c>
      <c r="M16" s="166"/>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45"/>
      <c r="BD16" s="345"/>
      <c r="BE16" s="345"/>
      <c r="BF16" s="345"/>
      <c r="BG16" s="345"/>
    </row>
    <row r="17" spans="1:59" s="2" customFormat="1" ht="22.5" customHeight="1" thickBot="1" x14ac:dyDescent="0.25">
      <c r="A17" s="345"/>
      <c r="C17" s="117"/>
      <c r="D17" s="119"/>
      <c r="E17" s="119"/>
      <c r="F17" s="119"/>
      <c r="G17" s="119"/>
      <c r="H17" s="120"/>
      <c r="I17" s="120"/>
      <c r="J17" s="120"/>
      <c r="K17" s="121"/>
      <c r="L17" s="120"/>
      <c r="M17" s="122"/>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c r="BG17" s="345"/>
    </row>
    <row r="18" spans="1:59" ht="15.75" customHeight="1" thickTop="1" x14ac:dyDescent="0.2">
      <c r="D18" s="115"/>
      <c r="E18" s="116"/>
      <c r="F18" s="116"/>
      <c r="G18" s="116"/>
      <c r="H18" s="116"/>
      <c r="I18" s="114"/>
      <c r="J18" s="114"/>
      <c r="K18" s="114"/>
      <c r="L18" s="114"/>
    </row>
    <row r="19" spans="1:59" ht="15.75" customHeight="1" x14ac:dyDescent="0.2">
      <c r="D19" s="108"/>
      <c r="E19" s="109"/>
      <c r="F19" s="109"/>
      <c r="G19" s="109"/>
      <c r="H19" s="109"/>
    </row>
    <row r="20" spans="1:59" ht="15.75" customHeight="1" thickBot="1" x14ac:dyDescent="0.25"/>
    <row r="21" spans="1:59" ht="35.25" customHeight="1" thickTop="1" x14ac:dyDescent="0.2">
      <c r="C21" s="236" t="s">
        <v>168</v>
      </c>
      <c r="D21" s="237"/>
      <c r="E21" s="237"/>
      <c r="F21" s="237"/>
      <c r="G21" s="237"/>
      <c r="H21" s="237"/>
      <c r="I21" s="237"/>
      <c r="J21" s="237"/>
      <c r="K21" s="237"/>
      <c r="L21" s="238"/>
      <c r="M21" s="325"/>
    </row>
    <row r="22" spans="1:59" ht="15.75" customHeight="1" x14ac:dyDescent="0.2">
      <c r="C22" s="96"/>
      <c r="D22" s="97"/>
      <c r="E22" s="97"/>
      <c r="F22" s="97"/>
      <c r="G22" s="97"/>
      <c r="H22" s="97"/>
      <c r="I22" s="97"/>
      <c r="J22" s="97"/>
      <c r="K22" s="97"/>
      <c r="L22" s="98"/>
    </row>
    <row r="23" spans="1:59" s="6" customFormat="1" ht="33.75" customHeight="1" x14ac:dyDescent="0.2">
      <c r="A23" s="346"/>
      <c r="C23" s="100"/>
      <c r="D23" s="112" t="s">
        <v>4</v>
      </c>
      <c r="E23" s="110" t="s">
        <v>5</v>
      </c>
      <c r="F23" s="111" t="s">
        <v>263</v>
      </c>
      <c r="G23" s="111" t="s">
        <v>271</v>
      </c>
      <c r="H23" s="111" t="s">
        <v>171</v>
      </c>
      <c r="I23" s="110" t="s">
        <v>9</v>
      </c>
      <c r="J23" s="110" t="s">
        <v>10</v>
      </c>
      <c r="K23" s="113" t="s">
        <v>11</v>
      </c>
      <c r="L23" s="101"/>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row>
    <row r="24" spans="1:59" ht="15.75" customHeight="1" x14ac:dyDescent="0.2">
      <c r="C24" s="96"/>
      <c r="D24" s="218" t="s">
        <v>12</v>
      </c>
      <c r="E24" s="145">
        <v>100</v>
      </c>
      <c r="F24" s="145">
        <v>0</v>
      </c>
      <c r="G24" s="149">
        <f>10+(D15-10)/3-3</f>
        <v>55.666666666666664</v>
      </c>
      <c r="H24" s="145">
        <f>E15+7</f>
        <v>13</v>
      </c>
      <c r="I24" s="21">
        <f t="shared" ref="I24:I31" si="0">F24*E24</f>
        <v>0</v>
      </c>
      <c r="J24" s="86">
        <f>G24*E24</f>
        <v>5566.6666666666661</v>
      </c>
      <c r="K24" s="87">
        <f t="shared" ref="K24:K31" si="1">H24*E24</f>
        <v>1300</v>
      </c>
      <c r="L24" s="98"/>
      <c r="N24" s="5"/>
    </row>
    <row r="25" spans="1:59" ht="15.75" customHeight="1" x14ac:dyDescent="0.2">
      <c r="C25" s="96"/>
      <c r="D25" s="146" t="s">
        <v>189</v>
      </c>
      <c r="E25" s="147">
        <v>35</v>
      </c>
      <c r="F25" s="148">
        <v>0</v>
      </c>
      <c r="G25" s="149">
        <f>G24</f>
        <v>55.666666666666664</v>
      </c>
      <c r="H25" s="148">
        <f>7+E15</f>
        <v>13</v>
      </c>
      <c r="I25" s="29">
        <f t="shared" si="0"/>
        <v>0</v>
      </c>
      <c r="J25" s="86">
        <f t="shared" ref="J25:J33" si="2">G25*E25</f>
        <v>1948.3333333333333</v>
      </c>
      <c r="K25" s="87">
        <f t="shared" si="1"/>
        <v>455</v>
      </c>
      <c r="L25" s="98"/>
      <c r="N25" s="5"/>
    </row>
    <row r="26" spans="1:59" ht="15.75" customHeight="1" x14ac:dyDescent="0.2">
      <c r="C26" s="96"/>
      <c r="D26" s="146" t="s">
        <v>14</v>
      </c>
      <c r="E26" s="147">
        <v>9</v>
      </c>
      <c r="F26" s="148">
        <v>0</v>
      </c>
      <c r="G26" s="148">
        <v>5</v>
      </c>
      <c r="H26" s="148">
        <f>7+E15</f>
        <v>13</v>
      </c>
      <c r="I26" s="29">
        <f t="shared" si="0"/>
        <v>0</v>
      </c>
      <c r="J26" s="86">
        <f t="shared" si="2"/>
        <v>45</v>
      </c>
      <c r="K26" s="87">
        <f t="shared" si="1"/>
        <v>117</v>
      </c>
      <c r="L26" s="98"/>
      <c r="N26" s="5"/>
    </row>
    <row r="27" spans="1:59" ht="15.75" customHeight="1" x14ac:dyDescent="0.2">
      <c r="C27" s="96"/>
      <c r="D27" s="146" t="s">
        <v>188</v>
      </c>
      <c r="E27" s="148">
        <v>173</v>
      </c>
      <c r="F27" s="148">
        <v>0</v>
      </c>
      <c r="G27" s="149">
        <f>10+12+46*2/3</f>
        <v>52.666666666666671</v>
      </c>
      <c r="H27" s="148">
        <v>16</v>
      </c>
      <c r="I27" s="29">
        <f t="shared" si="0"/>
        <v>0</v>
      </c>
      <c r="J27" s="86">
        <f t="shared" si="2"/>
        <v>9111.3333333333339</v>
      </c>
      <c r="K27" s="87">
        <f t="shared" si="1"/>
        <v>2768</v>
      </c>
      <c r="L27" s="98"/>
      <c r="N27" s="5"/>
    </row>
    <row r="28" spans="1:59" ht="15.75" customHeight="1" x14ac:dyDescent="0.25">
      <c r="C28" s="96"/>
      <c r="D28" s="146" t="s">
        <v>187</v>
      </c>
      <c r="E28" s="148">
        <v>30</v>
      </c>
      <c r="F28" s="148">
        <v>0</v>
      </c>
      <c r="G28" s="149">
        <f>G27</f>
        <v>52.666666666666671</v>
      </c>
      <c r="H28" s="148">
        <v>34</v>
      </c>
      <c r="I28" s="29">
        <f t="shared" si="0"/>
        <v>0</v>
      </c>
      <c r="J28" s="86">
        <f t="shared" si="2"/>
        <v>1580.0000000000002</v>
      </c>
      <c r="K28" s="87">
        <f t="shared" si="1"/>
        <v>1020</v>
      </c>
      <c r="L28" s="98"/>
      <c r="M28" s="3"/>
      <c r="N28" s="5"/>
    </row>
    <row r="29" spans="1:59" ht="15.75" customHeight="1" x14ac:dyDescent="0.2">
      <c r="C29" s="96"/>
      <c r="D29" s="146" t="s">
        <v>17</v>
      </c>
      <c r="E29" s="148">
        <v>62</v>
      </c>
      <c r="F29" s="148">
        <v>0</v>
      </c>
      <c r="G29" s="148">
        <v>70</v>
      </c>
      <c r="H29" s="148">
        <v>16</v>
      </c>
      <c r="I29" s="29">
        <f t="shared" si="0"/>
        <v>0</v>
      </c>
      <c r="J29" s="86">
        <f>G29*E29</f>
        <v>4340</v>
      </c>
      <c r="K29" s="87">
        <f t="shared" si="1"/>
        <v>992</v>
      </c>
      <c r="L29" s="98"/>
      <c r="M29" s="5"/>
      <c r="N29" s="5"/>
    </row>
    <row r="30" spans="1:59" ht="15.75" customHeight="1" x14ac:dyDescent="0.2">
      <c r="C30" s="96"/>
      <c r="D30" s="146" t="s">
        <v>186</v>
      </c>
      <c r="E30" s="148">
        <v>10</v>
      </c>
      <c r="F30" s="148">
        <v>0</v>
      </c>
      <c r="G30" s="148">
        <v>80</v>
      </c>
      <c r="H30" s="148">
        <v>16</v>
      </c>
      <c r="I30" s="29">
        <f t="shared" si="0"/>
        <v>0</v>
      </c>
      <c r="J30" s="86">
        <f t="shared" si="2"/>
        <v>800</v>
      </c>
      <c r="K30" s="87">
        <f t="shared" si="1"/>
        <v>160</v>
      </c>
      <c r="L30" s="98"/>
      <c r="M30" s="5"/>
      <c r="N30" s="5"/>
    </row>
    <row r="31" spans="1:59" ht="15.75" customHeight="1" x14ac:dyDescent="0.25">
      <c r="C31" s="96"/>
      <c r="D31" s="146" t="s">
        <v>185</v>
      </c>
      <c r="E31" s="148">
        <v>70</v>
      </c>
      <c r="F31" s="148">
        <v>0</v>
      </c>
      <c r="G31" s="220">
        <f>AVERAGE(71,(D15-G15))</f>
        <v>109</v>
      </c>
      <c r="H31" s="148">
        <v>26</v>
      </c>
      <c r="I31" s="29">
        <f t="shared" si="0"/>
        <v>0</v>
      </c>
      <c r="J31" s="86">
        <f t="shared" si="2"/>
        <v>7630</v>
      </c>
      <c r="K31" s="87">
        <f t="shared" si="1"/>
        <v>1820</v>
      </c>
      <c r="L31" s="98"/>
      <c r="M31" s="3"/>
      <c r="N31" s="5"/>
    </row>
    <row r="32" spans="1:59" ht="15.75" customHeight="1" x14ac:dyDescent="0.2">
      <c r="C32" s="96"/>
      <c r="D32" s="146" t="s">
        <v>32</v>
      </c>
      <c r="E32" s="148">
        <v>60</v>
      </c>
      <c r="F32" s="148">
        <v>0</v>
      </c>
      <c r="G32" s="220">
        <f>D15-G15</f>
        <v>147</v>
      </c>
      <c r="H32" s="148">
        <v>11</v>
      </c>
      <c r="I32" s="29">
        <f>F32*E32</f>
        <v>0</v>
      </c>
      <c r="J32" s="86">
        <f t="shared" si="2"/>
        <v>8820</v>
      </c>
      <c r="K32" s="87">
        <f>H32*E32</f>
        <v>660</v>
      </c>
      <c r="L32" s="98"/>
      <c r="M32" s="5"/>
      <c r="N32" s="5"/>
    </row>
    <row r="33" spans="1:59" ht="15.75" customHeight="1" x14ac:dyDescent="0.2">
      <c r="C33" s="96"/>
      <c r="D33" s="150" t="s">
        <v>190</v>
      </c>
      <c r="E33" s="151">
        <v>60</v>
      </c>
      <c r="F33" s="152">
        <v>0</v>
      </c>
      <c r="G33" s="152">
        <f>F15</f>
        <v>30</v>
      </c>
      <c r="H33" s="152">
        <v>13</v>
      </c>
      <c r="I33" s="24">
        <f>F33*E33</f>
        <v>0</v>
      </c>
      <c r="J33" s="88">
        <f t="shared" si="2"/>
        <v>1800</v>
      </c>
      <c r="K33" s="89">
        <f>H33*E33</f>
        <v>780</v>
      </c>
      <c r="L33" s="98"/>
      <c r="M33" s="5"/>
      <c r="N33" s="5"/>
    </row>
    <row r="34" spans="1:59" ht="15.75" customHeight="1" x14ac:dyDescent="0.2">
      <c r="C34" s="96"/>
      <c r="D34" s="93"/>
      <c r="E34" s="93"/>
      <c r="F34" s="93"/>
      <c r="G34" s="93"/>
      <c r="H34" s="93"/>
      <c r="I34" s="29"/>
      <c r="J34" s="93"/>
      <c r="K34" s="93"/>
      <c r="L34" s="98"/>
      <c r="M34" s="5"/>
      <c r="N34" s="5"/>
    </row>
    <row r="35" spans="1:59" ht="15.75" customHeight="1" x14ac:dyDescent="0.2">
      <c r="C35" s="96"/>
      <c r="D35" s="93"/>
      <c r="E35" s="93"/>
      <c r="F35" s="93"/>
      <c r="G35" s="93"/>
      <c r="H35" s="93"/>
      <c r="I35" s="29"/>
      <c r="J35" s="93"/>
      <c r="K35" s="93"/>
      <c r="L35" s="99"/>
      <c r="M35" s="5"/>
      <c r="N35" s="5"/>
    </row>
    <row r="36" spans="1:59" ht="15.75" customHeight="1" thickBot="1" x14ac:dyDescent="0.25">
      <c r="C36" s="96"/>
      <c r="D36" s="93"/>
      <c r="E36" s="93"/>
      <c r="F36" s="93"/>
      <c r="G36" s="93"/>
      <c r="H36" s="93"/>
      <c r="I36" s="29"/>
      <c r="J36" s="93"/>
      <c r="K36" s="93"/>
      <c r="L36" s="99"/>
      <c r="M36" s="5"/>
      <c r="N36" s="5"/>
    </row>
    <row r="37" spans="1:59" ht="24" customHeight="1" thickBot="1" x14ac:dyDescent="0.25">
      <c r="C37" s="96"/>
      <c r="D37" s="272" t="s">
        <v>174</v>
      </c>
      <c r="E37" s="272"/>
      <c r="F37" s="272"/>
      <c r="G37" s="97"/>
      <c r="H37" s="273" t="s">
        <v>180</v>
      </c>
      <c r="I37" s="274"/>
      <c r="J37" s="274"/>
      <c r="K37" s="275"/>
      <c r="L37" s="98"/>
    </row>
    <row r="38" spans="1:59" ht="29.25" customHeight="1" thickBot="1" x14ac:dyDescent="0.3">
      <c r="C38" s="96"/>
      <c r="D38" s="95"/>
      <c r="E38" s="167" t="s">
        <v>233</v>
      </c>
      <c r="F38" s="141" t="s">
        <v>169</v>
      </c>
      <c r="G38" s="97"/>
      <c r="H38" s="155" t="s">
        <v>199</v>
      </c>
      <c r="I38" s="93">
        <f>SUM(I24:I33)</f>
        <v>0</v>
      </c>
      <c r="J38" s="93"/>
      <c r="K38" s="156"/>
      <c r="L38" s="99"/>
      <c r="M38" s="5"/>
      <c r="N38" s="5"/>
    </row>
    <row r="39" spans="1:59" ht="15.75" customHeight="1" thickBot="1" x14ac:dyDescent="0.3">
      <c r="C39" s="96"/>
      <c r="D39" s="95" t="s">
        <v>170</v>
      </c>
      <c r="E39" s="135">
        <f>SUM(E24:E33)</f>
        <v>609</v>
      </c>
      <c r="F39" s="135">
        <f>E39-173</f>
        <v>436</v>
      </c>
      <c r="G39" s="97"/>
      <c r="H39" s="155" t="s">
        <v>200</v>
      </c>
      <c r="I39" s="93"/>
      <c r="J39" s="102">
        <f>SUM(J24:J33)</f>
        <v>41641.333333333328</v>
      </c>
      <c r="K39" s="156"/>
      <c r="L39" s="98"/>
    </row>
    <row r="40" spans="1:59" ht="15.75" customHeight="1" thickBot="1" x14ac:dyDescent="0.3">
      <c r="C40" s="96"/>
      <c r="D40" s="142"/>
      <c r="E40" s="143"/>
      <c r="F40" s="144"/>
      <c r="G40" s="97"/>
      <c r="H40" s="157" t="s">
        <v>200</v>
      </c>
      <c r="I40" s="25"/>
      <c r="J40" s="25"/>
      <c r="K40" s="158">
        <f>SUM(K24:K33)</f>
        <v>10072</v>
      </c>
      <c r="L40" s="98"/>
    </row>
    <row r="41" spans="1:59" ht="15.75" customHeight="1" thickBot="1" x14ac:dyDescent="0.25">
      <c r="C41" s="96"/>
      <c r="D41" s="242" t="s">
        <v>24</v>
      </c>
      <c r="E41" s="242"/>
      <c r="F41" s="242"/>
      <c r="G41" s="93"/>
      <c r="H41" s="93"/>
      <c r="I41" s="29"/>
      <c r="J41" s="29"/>
      <c r="K41" s="29"/>
      <c r="L41" s="99"/>
      <c r="M41" s="5"/>
    </row>
    <row r="42" spans="1:59" ht="15.75" customHeight="1" thickBot="1" x14ac:dyDescent="0.3">
      <c r="C42" s="103"/>
      <c r="D42" s="49" t="s">
        <v>25</v>
      </c>
      <c r="E42" s="49" t="s">
        <v>26</v>
      </c>
      <c r="F42" s="49" t="s">
        <v>27</v>
      </c>
      <c r="G42" s="93"/>
      <c r="H42" s="93"/>
      <c r="I42" s="93"/>
      <c r="J42" s="93"/>
      <c r="K42" s="93"/>
      <c r="L42" s="99"/>
      <c r="M42" s="5"/>
    </row>
    <row r="43" spans="1:59" ht="15.75" customHeight="1" thickBot="1" x14ac:dyDescent="0.3">
      <c r="C43" s="103"/>
      <c r="D43" s="135">
        <f>I38/E39</f>
        <v>0</v>
      </c>
      <c r="E43" s="135">
        <f>J39/E39</f>
        <v>68.376573617952914</v>
      </c>
      <c r="F43" s="135">
        <f>K40/E39</f>
        <v>16.538587848932675</v>
      </c>
      <c r="G43" s="205"/>
      <c r="H43" s="93"/>
      <c r="I43" s="93"/>
      <c r="J43" s="93"/>
      <c r="K43" s="93"/>
      <c r="L43" s="101"/>
      <c r="M43" s="6"/>
    </row>
    <row r="44" spans="1:59" ht="15.75" customHeight="1" thickBot="1" x14ac:dyDescent="0.3">
      <c r="C44" s="104"/>
      <c r="D44" s="105"/>
      <c r="E44" s="105"/>
      <c r="F44" s="105"/>
      <c r="G44" s="106"/>
      <c r="H44" s="106"/>
      <c r="I44" s="106"/>
      <c r="J44" s="106"/>
      <c r="K44" s="106"/>
      <c r="L44" s="107"/>
    </row>
    <row r="45" spans="1:59" ht="15.75" customHeight="1" thickTop="1" x14ac:dyDescent="0.25">
      <c r="C45" s="3"/>
      <c r="D45" s="5"/>
      <c r="E45" s="5"/>
      <c r="F45" s="5"/>
    </row>
    <row r="46" spans="1:59" s="13" customFormat="1" ht="15.75" customHeight="1" thickBot="1" x14ac:dyDescent="0.25">
      <c r="A46" s="347"/>
      <c r="F46" s="219"/>
      <c r="Q46" s="1"/>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7"/>
      <c r="BE46" s="347"/>
      <c r="BF46" s="347"/>
      <c r="BG46" s="347"/>
    </row>
    <row r="47" spans="1:59" ht="31.5" customHeight="1" thickTop="1" x14ac:dyDescent="0.4">
      <c r="C47" s="236" t="s">
        <v>173</v>
      </c>
      <c r="D47" s="237"/>
      <c r="E47" s="237"/>
      <c r="F47" s="237"/>
      <c r="G47" s="237"/>
      <c r="H47" s="237"/>
      <c r="I47" s="237"/>
      <c r="J47" s="237"/>
      <c r="K47" s="237"/>
      <c r="L47" s="237"/>
      <c r="M47" s="237"/>
      <c r="N47" s="237"/>
      <c r="O47" s="237"/>
      <c r="P47" s="238"/>
      <c r="AC47" s="348"/>
    </row>
    <row r="48" spans="1:59" ht="15.75" customHeight="1" thickBot="1" x14ac:dyDescent="0.25">
      <c r="C48" s="96"/>
      <c r="D48" s="97"/>
      <c r="E48" s="97"/>
      <c r="F48" s="97"/>
      <c r="G48" s="97"/>
      <c r="H48" s="97"/>
      <c r="I48" s="97"/>
      <c r="J48" s="97"/>
      <c r="K48" s="97"/>
      <c r="L48" s="97"/>
      <c r="M48" s="97"/>
      <c r="N48" s="97"/>
      <c r="O48" s="97"/>
      <c r="P48" s="98"/>
    </row>
    <row r="49" spans="3:27" ht="28.5" customHeight="1" thickTop="1" thickBot="1" x14ac:dyDescent="0.25">
      <c r="C49" s="96"/>
      <c r="D49" s="259" t="s">
        <v>184</v>
      </c>
      <c r="E49" s="260"/>
      <c r="F49" s="260"/>
      <c r="G49" s="260"/>
      <c r="H49" s="260"/>
      <c r="I49" s="260"/>
      <c r="J49" s="260"/>
      <c r="K49" s="261"/>
      <c r="L49" s="97"/>
      <c r="M49" s="97"/>
      <c r="N49" s="97"/>
      <c r="O49" s="97"/>
      <c r="P49" s="98"/>
      <c r="U49" s="349"/>
      <c r="V49" s="349"/>
      <c r="W49" s="349"/>
      <c r="X49" s="350">
        <f>67/13.5</f>
        <v>4.9629629629629628</v>
      </c>
      <c r="Y49" s="351">
        <v>67</v>
      </c>
    </row>
    <row r="50" spans="3:27" ht="66" customHeight="1" thickTop="1" thickBot="1" x14ac:dyDescent="0.25">
      <c r="C50" s="96"/>
      <c r="D50" s="221" t="s">
        <v>273</v>
      </c>
      <c r="E50" s="221" t="s">
        <v>58</v>
      </c>
      <c r="F50" s="222" t="s">
        <v>274</v>
      </c>
      <c r="G50" s="222" t="s">
        <v>28</v>
      </c>
      <c r="H50" s="223" t="s">
        <v>45</v>
      </c>
      <c r="I50" s="222" t="s">
        <v>39</v>
      </c>
      <c r="J50" s="222" t="s">
        <v>50</v>
      </c>
      <c r="K50" s="224" t="s">
        <v>66</v>
      </c>
      <c r="L50" s="97"/>
      <c r="M50" s="97"/>
      <c r="N50" s="97"/>
      <c r="O50" s="97"/>
      <c r="P50" s="98"/>
      <c r="U50" s="349"/>
      <c r="V50" s="352" t="s">
        <v>225</v>
      </c>
      <c r="W50" s="353">
        <f>X50-X49</f>
        <v>0.71119434040782359</v>
      </c>
      <c r="X50" s="353">
        <f>101/17.8</f>
        <v>5.6741573033707864</v>
      </c>
      <c r="Y50" s="351">
        <v>101</v>
      </c>
      <c r="Z50" s="326">
        <f>Y50-Y49</f>
        <v>34</v>
      </c>
      <c r="AA50" s="326">
        <f>(W51-W50)/Z50</f>
        <v>4.0113966663580343E-3</v>
      </c>
    </row>
    <row r="51" spans="3:27" ht="35.25" customHeight="1" x14ac:dyDescent="0.2">
      <c r="C51" s="96"/>
      <c r="D51" s="132">
        <f>H51-E51</f>
        <v>78.623426382047086</v>
      </c>
      <c r="E51" s="133">
        <f>E43-F15</f>
        <v>38.376573617952914</v>
      </c>
      <c r="F51" s="133">
        <f>((E39-(E39*E51)/(E51+D51))/2)/E39*100</f>
        <v>33.599754864122687</v>
      </c>
      <c r="G51" s="133">
        <f>(100-2*F51)</f>
        <v>32.800490271754626</v>
      </c>
      <c r="H51" s="133">
        <f>D15-F15-G15</f>
        <v>117</v>
      </c>
      <c r="I51" s="133">
        <f>D15*(1/J5)</f>
        <v>3.9624079248158504</v>
      </c>
      <c r="J51" s="133">
        <f>H51*2/3+G15</f>
        <v>87</v>
      </c>
      <c r="K51" s="134">
        <f>L5*H51/I15+(J56-K56)</f>
        <v>28.604010884562015</v>
      </c>
      <c r="L51" s="97"/>
      <c r="M51" s="97"/>
      <c r="N51" s="97"/>
      <c r="O51" s="97"/>
      <c r="P51" s="98"/>
      <c r="U51" s="349"/>
      <c r="V51" s="349"/>
      <c r="W51" s="353">
        <f>X51-X50</f>
        <v>0.84758182706399676</v>
      </c>
      <c r="X51" s="353">
        <f>135/20.7</f>
        <v>6.5217391304347831</v>
      </c>
      <c r="Y51" s="351">
        <v>135</v>
      </c>
      <c r="Z51" s="326">
        <f>Y51-Y50</f>
        <v>34</v>
      </c>
      <c r="AA51" s="326">
        <f>(W52-W51)/Z51</f>
        <v>7.6399392349297494E-3</v>
      </c>
    </row>
    <row r="52" spans="3:27" ht="123" customHeight="1" thickBot="1" x14ac:dyDescent="0.25">
      <c r="C52" s="96"/>
      <c r="D52" s="126"/>
      <c r="E52" s="127"/>
      <c r="F52" s="127"/>
      <c r="G52" s="235" t="s">
        <v>203</v>
      </c>
      <c r="H52" s="235" t="s">
        <v>48</v>
      </c>
      <c r="I52" s="235"/>
      <c r="J52" s="235" t="s">
        <v>46</v>
      </c>
      <c r="K52" s="129" t="s">
        <v>99</v>
      </c>
      <c r="L52" s="97"/>
      <c r="M52" s="97"/>
      <c r="N52" s="97"/>
      <c r="O52" s="97"/>
      <c r="P52" s="98"/>
      <c r="U52" s="349"/>
      <c r="V52" s="349"/>
      <c r="W52" s="353">
        <f>W51+(W51-W50)-(Z51-Z52)*AA50</f>
        <v>1.1073397610516083</v>
      </c>
      <c r="X52" s="353">
        <f>(W52)+X51</f>
        <v>7.6290788914863912</v>
      </c>
      <c r="Y52" s="354">
        <f>E39*G51/100</f>
        <v>199.75498575498568</v>
      </c>
      <c r="Z52" s="326">
        <f>Y52-Y51</f>
        <v>64.754985754985682</v>
      </c>
      <c r="AA52" s="326">
        <f>(W53-W52)/Z52</f>
        <v>3.0152981673073136E-4</v>
      </c>
    </row>
    <row r="53" spans="3:27" ht="15.75" customHeight="1" thickTop="1" thickBot="1" x14ac:dyDescent="0.25">
      <c r="C53" s="96"/>
      <c r="D53" s="97"/>
      <c r="E53" s="97"/>
      <c r="F53" s="97"/>
      <c r="G53" s="97"/>
      <c r="H53" s="97"/>
      <c r="I53" s="97"/>
      <c r="J53" s="97"/>
      <c r="K53" s="97"/>
      <c r="L53" s="97"/>
      <c r="M53" s="97"/>
      <c r="N53" s="97"/>
      <c r="O53" s="97"/>
      <c r="P53" s="98"/>
      <c r="U53" s="349"/>
      <c r="V53" s="349"/>
      <c r="W53" s="353">
        <f>W52+(W52-W51)-(Z52-Z53)*AA50</f>
        <v>1.1268653200387102</v>
      </c>
      <c r="X53" s="353">
        <f>(W53)+X52</f>
        <v>8.7559442115251009</v>
      </c>
      <c r="Y53" s="354">
        <f>F51*E39/100</f>
        <v>204.62250712250716</v>
      </c>
      <c r="Z53" s="326">
        <f>Y53-Y52</f>
        <v>4.8675213675214763</v>
      </c>
    </row>
    <row r="54" spans="3:27" ht="28.5" customHeight="1" thickTop="1" thickBot="1" x14ac:dyDescent="0.3">
      <c r="C54" s="96"/>
      <c r="D54" s="243" t="s">
        <v>175</v>
      </c>
      <c r="E54" s="244"/>
      <c r="F54" s="244"/>
      <c r="G54" s="244"/>
      <c r="H54" s="244"/>
      <c r="I54" s="244"/>
      <c r="J54" s="244"/>
      <c r="K54" s="244"/>
      <c r="L54" s="244"/>
      <c r="M54" s="244"/>
      <c r="N54" s="245"/>
      <c r="O54" s="97"/>
      <c r="P54" s="98"/>
      <c r="U54" s="355">
        <f>2.74*SQRT(I15*H15/F43)</f>
        <v>81.537150113962838</v>
      </c>
      <c r="V54" s="349"/>
      <c r="W54" s="349"/>
      <c r="X54" s="349"/>
      <c r="Y54" s="351"/>
    </row>
    <row r="55" spans="3:27" ht="84" customHeight="1" thickBot="1" x14ac:dyDescent="0.25">
      <c r="C55" s="96"/>
      <c r="D55" s="130" t="s">
        <v>49</v>
      </c>
      <c r="E55" s="49" t="s">
        <v>86</v>
      </c>
      <c r="F55" s="49" t="s">
        <v>60</v>
      </c>
      <c r="G55" s="49" t="s">
        <v>62</v>
      </c>
      <c r="H55" s="49" t="s">
        <v>63</v>
      </c>
      <c r="I55" s="49" t="s">
        <v>54</v>
      </c>
      <c r="J55" s="49" t="s">
        <v>64</v>
      </c>
      <c r="K55" s="49" t="s">
        <v>165</v>
      </c>
      <c r="L55" s="49" t="s">
        <v>243</v>
      </c>
      <c r="M55" s="49" t="s">
        <v>241</v>
      </c>
      <c r="N55" s="153" t="s">
        <v>244</v>
      </c>
      <c r="O55" s="97"/>
      <c r="P55" s="98"/>
    </row>
    <row r="56" spans="3:27" ht="39" customHeight="1" x14ac:dyDescent="0.2">
      <c r="C56" s="96"/>
      <c r="D56" s="132">
        <f>E43-J51</f>
        <v>-18.623426382047086</v>
      </c>
      <c r="E56" s="201">
        <f>((J15/K5))^2/(M5*I15*12)</f>
        <v>0.30788937666839272</v>
      </c>
      <c r="F56" s="133">
        <f>E39*((J15/K5)/12)^2/(M5*I15/12)</f>
        <v>187.50463039105117</v>
      </c>
      <c r="G56" s="133">
        <f>(F51*E39/100)/(X53)</f>
        <v>23.369553548910314</v>
      </c>
      <c r="H56" s="133">
        <f>(E39*G51/100)/(X52)</f>
        <v>26.183368739036194</v>
      </c>
      <c r="I56" s="133">
        <f>((2*F51/100)*E39/(2*G56))-((G51/100)*E39/(H56))</f>
        <v>1.1268653200387106</v>
      </c>
      <c r="J56" s="134">
        <f>(F51/100)*E39/G56</f>
        <v>8.7559442115251009</v>
      </c>
      <c r="K56" s="132">
        <f>(G51/100)*E39/H56</f>
        <v>7.6290788914863903</v>
      </c>
      <c r="L56" s="133">
        <f>(SQRT(H51*M5*12*K5*K5/I56))</f>
        <v>11.380522187855792</v>
      </c>
      <c r="M56" s="133">
        <f>((L56/K5)^2)/(M5*I15*12)</f>
        <v>0.42536009474120118</v>
      </c>
      <c r="N56" s="357">
        <f>M56/E56</f>
        <v>1.3815354701222069</v>
      </c>
      <c r="O56" s="97"/>
      <c r="P56" s="98"/>
    </row>
    <row r="57" spans="3:27" ht="189.75" customHeight="1" thickBot="1" x14ac:dyDescent="0.25">
      <c r="C57" s="96"/>
      <c r="D57" s="131" t="s">
        <v>202</v>
      </c>
      <c r="E57" s="235"/>
      <c r="F57" s="235" t="s">
        <v>207</v>
      </c>
      <c r="G57" s="235"/>
      <c r="H57" s="235"/>
      <c r="I57" s="235" t="s">
        <v>201</v>
      </c>
      <c r="J57" s="235" t="s">
        <v>234</v>
      </c>
      <c r="K57" s="235" t="s">
        <v>234</v>
      </c>
      <c r="L57" s="235" t="s">
        <v>213</v>
      </c>
      <c r="M57" s="235"/>
      <c r="N57" s="129" t="s">
        <v>247</v>
      </c>
      <c r="O57" s="97"/>
      <c r="P57" s="98"/>
    </row>
    <row r="58" spans="3:27" ht="18.75" customHeight="1" thickTop="1" thickBot="1" x14ac:dyDescent="0.25">
      <c r="C58" s="96"/>
      <c r="D58" s="97"/>
      <c r="E58" s="97"/>
      <c r="F58" s="97"/>
      <c r="G58" s="97"/>
      <c r="H58" s="97"/>
      <c r="I58" s="97"/>
      <c r="J58" s="97"/>
      <c r="K58" s="97"/>
      <c r="L58" s="124"/>
      <c r="M58" s="97"/>
      <c r="N58" s="97"/>
      <c r="O58" s="97"/>
      <c r="P58" s="98"/>
    </row>
    <row r="59" spans="3:27" ht="53.25" customHeight="1" thickTop="1" x14ac:dyDescent="0.2">
      <c r="C59" s="96"/>
      <c r="D59" s="283" t="s">
        <v>176</v>
      </c>
      <c r="E59" s="284"/>
      <c r="F59" s="284"/>
      <c r="G59" s="284"/>
      <c r="H59" s="285"/>
      <c r="I59" s="197"/>
      <c r="J59" s="97"/>
      <c r="K59" s="97"/>
      <c r="L59" s="97"/>
      <c r="M59" s="97"/>
      <c r="N59" s="97"/>
      <c r="O59" s="97"/>
      <c r="P59" s="98"/>
    </row>
    <row r="60" spans="3:27" ht="104.25" customHeight="1" x14ac:dyDescent="0.2">
      <c r="C60" s="96"/>
      <c r="D60" s="123" t="s">
        <v>73</v>
      </c>
      <c r="E60" s="72" t="s">
        <v>74</v>
      </c>
      <c r="F60" s="72" t="s">
        <v>76</v>
      </c>
      <c r="G60" s="170" t="s">
        <v>240</v>
      </c>
      <c r="H60" s="198" t="s">
        <v>242</v>
      </c>
      <c r="I60" s="97"/>
      <c r="J60" s="295" t="s">
        <v>212</v>
      </c>
      <c r="K60" s="295"/>
      <c r="L60" s="295"/>
      <c r="M60" s="295"/>
      <c r="N60" s="295"/>
      <c r="O60" s="295"/>
      <c r="P60" s="98"/>
      <c r="Q60" s="5"/>
    </row>
    <row r="61" spans="3:27" ht="23.25" customHeight="1" x14ac:dyDescent="0.2">
      <c r="C61" s="96"/>
      <c r="D61" s="132">
        <f>F56/(F51/100*E39)</f>
        <v>0.916344115942204</v>
      </c>
      <c r="E61" s="133">
        <f>F56/(G51/100*E39)</f>
        <v>0.93867309335167004</v>
      </c>
      <c r="F61" s="133">
        <f>H15*(H51-(D15-E43-F15))/(2*F43*H51)</f>
        <v>0.92056000217239287</v>
      </c>
      <c r="G61" s="324">
        <f>F61/E56</f>
        <v>2.9899050500981303</v>
      </c>
      <c r="H61" s="134">
        <f>SQRT(F61*(M5*12)*I15*K5*K5)</f>
        <v>16.742097561543289</v>
      </c>
      <c r="I61" s="97"/>
      <c r="J61" s="172" t="s">
        <v>222</v>
      </c>
      <c r="K61" s="97"/>
      <c r="L61" s="97"/>
      <c r="M61" s="97"/>
      <c r="N61" s="97"/>
      <c r="O61" s="97"/>
      <c r="P61" s="99"/>
      <c r="Q61" s="5"/>
    </row>
    <row r="62" spans="3:27" ht="132" customHeight="1" thickBot="1" x14ac:dyDescent="0.25">
      <c r="C62" s="96"/>
      <c r="D62" s="255" t="s">
        <v>246</v>
      </c>
      <c r="E62" s="241"/>
      <c r="F62" s="280" t="s">
        <v>198</v>
      </c>
      <c r="G62" s="280"/>
      <c r="H62" s="129" t="s">
        <v>245</v>
      </c>
      <c r="I62" s="97"/>
      <c r="J62" s="97"/>
      <c r="K62" s="97"/>
      <c r="L62" s="97"/>
      <c r="M62" s="97" t="s">
        <v>113</v>
      </c>
      <c r="N62" s="97"/>
      <c r="O62" s="97"/>
      <c r="P62" s="98"/>
    </row>
    <row r="63" spans="3:27" ht="30" customHeight="1" thickTop="1" thickBot="1" x14ac:dyDescent="0.25">
      <c r="C63" s="96"/>
      <c r="D63" s="97"/>
      <c r="E63" s="97"/>
      <c r="F63" s="97"/>
      <c r="G63" s="97"/>
      <c r="H63" s="97"/>
      <c r="I63" s="97"/>
      <c r="J63" s="97"/>
      <c r="K63" s="97"/>
      <c r="L63" s="97"/>
      <c r="M63" s="97"/>
      <c r="N63" s="97"/>
      <c r="O63" s="97"/>
      <c r="P63" s="98"/>
    </row>
    <row r="64" spans="3:27" ht="51" customHeight="1" thickTop="1" thickBot="1" x14ac:dyDescent="0.25">
      <c r="C64" s="96"/>
      <c r="D64" s="243" t="s">
        <v>177</v>
      </c>
      <c r="E64" s="244"/>
      <c r="F64" s="244"/>
      <c r="G64" s="244"/>
      <c r="H64" s="244"/>
      <c r="I64" s="244"/>
      <c r="J64" s="244"/>
      <c r="K64" s="245"/>
      <c r="L64" s="97"/>
      <c r="M64" s="97"/>
      <c r="N64" s="97"/>
      <c r="O64" s="97"/>
      <c r="P64" s="98"/>
    </row>
    <row r="65" spans="3:16" ht="102" customHeight="1" thickBot="1" x14ac:dyDescent="0.35">
      <c r="C65" s="96"/>
      <c r="D65" s="130" t="s">
        <v>91</v>
      </c>
      <c r="E65" s="49" t="s">
        <v>92</v>
      </c>
      <c r="F65" s="49" t="s">
        <v>89</v>
      </c>
      <c r="G65" s="49" t="s">
        <v>90</v>
      </c>
      <c r="H65" s="49" t="s">
        <v>82</v>
      </c>
      <c r="I65" s="49" t="s">
        <v>83</v>
      </c>
      <c r="J65" s="49" t="s">
        <v>85</v>
      </c>
      <c r="K65" s="153" t="s">
        <v>94</v>
      </c>
      <c r="L65" s="97"/>
      <c r="M65" s="200"/>
      <c r="N65" s="97"/>
      <c r="O65" s="97"/>
      <c r="P65" s="98"/>
    </row>
    <row r="66" spans="3:16" ht="22.5" customHeight="1" x14ac:dyDescent="0.3">
      <c r="C66" s="96"/>
      <c r="D66" s="132">
        <f>0.5*F43/((D15-F15)-E43)</f>
        <v>0.14350576568703807</v>
      </c>
      <c r="E66" s="133">
        <f>F43/((D15-F15)-E43)</f>
        <v>0.28701153137407615</v>
      </c>
      <c r="F66" s="133">
        <f>-J66*D66</f>
        <v>28.665992180572605</v>
      </c>
      <c r="G66" s="133">
        <f>-J66*E66</f>
        <v>57.33198436114521</v>
      </c>
      <c r="H66" s="132">
        <f>(0.5*E39*F43-(H51/100)*(X60-F66)-((D15-F15)-E43)*E39)/H51</f>
        <v>-256.60792697278129</v>
      </c>
      <c r="I66" s="133">
        <f>(0.5*E39*F43-(H51/100)*(Y60-G66)-((D15-F15)-E43)*E39)/H51</f>
        <v>-256.32126705097556</v>
      </c>
      <c r="J66" s="133">
        <f>-G51*E39/100</f>
        <v>-199.75498575498568</v>
      </c>
      <c r="K66" s="357">
        <f>ABS(J66/G66)</f>
        <v>3.4841805665872396</v>
      </c>
      <c r="L66" s="97"/>
      <c r="M66" s="200"/>
      <c r="N66" s="97"/>
      <c r="O66" s="97"/>
      <c r="P66" s="98"/>
    </row>
    <row r="67" spans="3:16" ht="157.5" customHeight="1" thickBot="1" x14ac:dyDescent="0.25">
      <c r="C67" s="96"/>
      <c r="D67" s="131" t="s">
        <v>75</v>
      </c>
      <c r="E67" s="235" t="s">
        <v>75</v>
      </c>
      <c r="F67" s="235"/>
      <c r="G67" s="235"/>
      <c r="H67" s="235" t="s">
        <v>196</v>
      </c>
      <c r="I67" s="235" t="s">
        <v>197</v>
      </c>
      <c r="J67" s="235"/>
      <c r="K67" s="129"/>
      <c r="L67" s="97"/>
      <c r="M67" s="97"/>
      <c r="N67" s="97"/>
      <c r="O67" s="97"/>
      <c r="P67" s="98"/>
    </row>
    <row r="68" spans="3:16" ht="42.75" customHeight="1" thickTop="1" thickBot="1" x14ac:dyDescent="0.25">
      <c r="C68" s="96"/>
      <c r="D68" s="97"/>
      <c r="E68" s="97"/>
      <c r="F68" s="97"/>
      <c r="G68" s="97"/>
      <c r="H68" s="97"/>
      <c r="I68" s="97"/>
      <c r="J68" s="97"/>
      <c r="K68" s="97"/>
      <c r="L68" s="97"/>
      <c r="M68" s="97"/>
      <c r="N68" s="97"/>
      <c r="O68" s="97"/>
      <c r="P68" s="98"/>
    </row>
    <row r="69" spans="3:16" ht="30.75" customHeight="1" thickTop="1" thickBot="1" x14ac:dyDescent="0.25">
      <c r="C69" s="96"/>
      <c r="D69" s="283" t="s">
        <v>204</v>
      </c>
      <c r="E69" s="284"/>
      <c r="F69" s="284"/>
      <c r="G69" s="284"/>
      <c r="H69" s="284"/>
      <c r="I69" s="284"/>
      <c r="J69" s="284"/>
      <c r="K69" s="284"/>
      <c r="L69" s="284"/>
      <c r="M69" s="284"/>
      <c r="N69" s="285"/>
      <c r="O69" s="97"/>
      <c r="P69" s="98"/>
    </row>
    <row r="70" spans="3:16" ht="101.25" customHeight="1" thickTop="1" thickBot="1" x14ac:dyDescent="0.25">
      <c r="C70" s="96"/>
      <c r="D70" s="186" t="s">
        <v>206</v>
      </c>
      <c r="E70" s="187" t="s">
        <v>205</v>
      </c>
      <c r="F70" s="187" t="s">
        <v>219</v>
      </c>
      <c r="G70" s="187" t="s">
        <v>215</v>
      </c>
      <c r="H70" s="188" t="s">
        <v>209</v>
      </c>
      <c r="I70" s="188" t="s">
        <v>214</v>
      </c>
      <c r="J70" s="188" t="s">
        <v>217</v>
      </c>
      <c r="K70" s="187" t="s">
        <v>210</v>
      </c>
      <c r="L70" s="206" t="s">
        <v>211</v>
      </c>
      <c r="M70" s="49" t="s">
        <v>251</v>
      </c>
      <c r="N70" s="358" t="s">
        <v>218</v>
      </c>
      <c r="O70" s="97"/>
      <c r="P70" s="98"/>
    </row>
    <row r="71" spans="3:16" ht="19.5" customHeight="1" x14ac:dyDescent="0.2">
      <c r="C71" s="96"/>
      <c r="D71" s="168">
        <v>-1.5</v>
      </c>
      <c r="E71" s="133">
        <f>F43-D71</f>
        <v>18.038587848932675</v>
      </c>
      <c r="F71" s="133">
        <f>((I71))*E56</f>
        <v>80.842363889803394</v>
      </c>
      <c r="G71" s="133">
        <f>E56*H71</f>
        <v>63.001096170272483</v>
      </c>
      <c r="H71" s="133">
        <f>F51*E39/100</f>
        <v>204.62250712250716</v>
      </c>
      <c r="I71" s="133">
        <f>H71-K71</f>
        <v>262.56951364994109</v>
      </c>
      <c r="J71" s="133">
        <f>H71+K71</f>
        <v>146.67550059507323</v>
      </c>
      <c r="K71" s="133">
        <f>-((F56)*E71+G71*-D71)/H15</f>
        <v>-57.947006527433942</v>
      </c>
      <c r="L71" s="323">
        <f>ABS(H71/K71)</f>
        <v>3.5312006501256006</v>
      </c>
      <c r="M71" s="207">
        <f>F71/I71</f>
        <v>0.30788937666839272</v>
      </c>
      <c r="N71" s="134">
        <f>M56/M71</f>
        <v>1.3815354701222069</v>
      </c>
      <c r="O71" s="97"/>
      <c r="P71" s="98"/>
    </row>
    <row r="72" spans="3:16" ht="191.25" customHeight="1" thickBot="1" x14ac:dyDescent="0.25">
      <c r="C72" s="96"/>
      <c r="D72" s="131" t="s">
        <v>252</v>
      </c>
      <c r="E72" s="235"/>
      <c r="F72" s="235" t="s">
        <v>220</v>
      </c>
      <c r="G72" s="235"/>
      <c r="H72" s="277" t="s">
        <v>216</v>
      </c>
      <c r="I72" s="277"/>
      <c r="J72" s="277"/>
      <c r="K72" s="235" t="s">
        <v>208</v>
      </c>
      <c r="L72" s="234" t="s">
        <v>221</v>
      </c>
      <c r="M72" s="359"/>
      <c r="N72" s="129" t="s">
        <v>282</v>
      </c>
      <c r="O72" s="97"/>
      <c r="P72" s="98"/>
    </row>
    <row r="73" spans="3:16" ht="279" customHeight="1" thickTop="1" thickBot="1" x14ac:dyDescent="0.25">
      <c r="C73" s="117"/>
      <c r="D73" s="360" t="s">
        <v>254</v>
      </c>
      <c r="E73" s="360"/>
      <c r="F73" s="360"/>
      <c r="G73" s="360"/>
      <c r="H73" s="360"/>
      <c r="I73" s="360"/>
      <c r="J73" s="360"/>
      <c r="K73" s="360"/>
      <c r="L73" s="360"/>
      <c r="M73" s="360"/>
      <c r="N73" s="360"/>
      <c r="O73" s="356"/>
      <c r="P73" s="107"/>
    </row>
    <row r="74" spans="3:16" ht="26.25" customHeight="1" thickTop="1" thickBot="1" x14ac:dyDescent="0.25"/>
    <row r="75" spans="3:16" s="326" customFormat="1" ht="34.5" customHeight="1" thickTop="1" thickBot="1" x14ac:dyDescent="0.4">
      <c r="D75" s="327" t="s">
        <v>236</v>
      </c>
      <c r="E75" s="328"/>
      <c r="F75" s="328"/>
      <c r="G75" s="328"/>
      <c r="H75" s="328"/>
      <c r="I75" s="328"/>
      <c r="J75" s="328"/>
      <c r="K75" s="328"/>
      <c r="L75" s="329"/>
      <c r="N75" s="330" t="s">
        <v>238</v>
      </c>
    </row>
    <row r="76" spans="3:16" s="326" customFormat="1" ht="95.25" customHeight="1" thickTop="1" x14ac:dyDescent="0.2">
      <c r="D76" s="331" t="s">
        <v>237</v>
      </c>
      <c r="E76" s="332" t="s">
        <v>6</v>
      </c>
      <c r="F76" s="332" t="s">
        <v>6</v>
      </c>
      <c r="G76" s="332" t="s">
        <v>6</v>
      </c>
      <c r="H76" s="332" t="s">
        <v>6</v>
      </c>
      <c r="I76" s="332" t="s">
        <v>6</v>
      </c>
      <c r="J76" s="332" t="s">
        <v>6</v>
      </c>
      <c r="K76" s="332" t="s">
        <v>6</v>
      </c>
      <c r="L76" s="333" t="s">
        <v>6</v>
      </c>
    </row>
    <row r="77" spans="3:16" s="326" customFormat="1" ht="27.75" customHeight="1" x14ac:dyDescent="0.2">
      <c r="D77" s="334" t="s">
        <v>6</v>
      </c>
      <c r="E77" s="335" t="s">
        <v>6</v>
      </c>
      <c r="F77" s="335" t="s">
        <v>6</v>
      </c>
      <c r="G77" s="335" t="s">
        <v>6</v>
      </c>
      <c r="H77" s="335" t="s">
        <v>6</v>
      </c>
      <c r="I77" s="335" t="s">
        <v>6</v>
      </c>
      <c r="J77" s="335" t="e">
        <f>H77+K77</f>
        <v>#VALUE!</v>
      </c>
      <c r="K77" s="335" t="s">
        <v>6</v>
      </c>
      <c r="L77" s="336" t="s">
        <v>6</v>
      </c>
    </row>
    <row r="78" spans="3:16" s="326" customFormat="1" ht="129.75" customHeight="1" thickBot="1" x14ac:dyDescent="0.25">
      <c r="D78" s="337"/>
      <c r="E78" s="338"/>
      <c r="F78" s="338" t="s">
        <v>6</v>
      </c>
      <c r="G78" s="338"/>
      <c r="H78" s="339" t="s">
        <v>6</v>
      </c>
      <c r="I78" s="339"/>
      <c r="J78" s="339"/>
      <c r="K78" s="338" t="s">
        <v>6</v>
      </c>
      <c r="L78" s="340" t="s">
        <v>6</v>
      </c>
      <c r="M78" s="341" t="s">
        <v>235</v>
      </c>
      <c r="N78" s="341" t="s">
        <v>235</v>
      </c>
      <c r="O78" s="341" t="s">
        <v>235</v>
      </c>
    </row>
    <row r="79" spans="3:16" s="326" customFormat="1" ht="15.75" customHeight="1" thickTop="1" x14ac:dyDescent="0.2">
      <c r="G79" s="342"/>
    </row>
    <row r="80" spans="3:16" s="326" customFormat="1" ht="30.75" customHeight="1" x14ac:dyDescent="0.4">
      <c r="D80" s="343" t="s">
        <v>248</v>
      </c>
    </row>
    <row r="81" spans="4:12" s="326" customFormat="1" ht="30.75" customHeight="1" x14ac:dyDescent="0.4">
      <c r="D81" s="343" t="s">
        <v>249</v>
      </c>
    </row>
    <row r="82" spans="4:12" s="326" customFormat="1" ht="30.75" customHeight="1" x14ac:dyDescent="0.4">
      <c r="D82" s="343" t="s">
        <v>250</v>
      </c>
    </row>
    <row r="83" spans="4:12" s="326" customFormat="1" ht="30.75" customHeight="1" thickBot="1" x14ac:dyDescent="0.45">
      <c r="D83" s="343"/>
    </row>
    <row r="84" spans="4:12" s="326" customFormat="1" ht="30.75" customHeight="1" thickTop="1" thickBot="1" x14ac:dyDescent="0.25">
      <c r="D84" s="327" t="s">
        <v>258</v>
      </c>
      <c r="E84" s="328"/>
      <c r="F84" s="328"/>
      <c r="G84" s="328"/>
      <c r="H84" s="328"/>
      <c r="I84" s="328"/>
      <c r="J84" s="328"/>
      <c r="K84" s="328"/>
      <c r="L84" s="329"/>
    </row>
    <row r="85" spans="4:12" s="326" customFormat="1" ht="30.75" customHeight="1" thickTop="1" x14ac:dyDescent="0.2">
      <c r="D85" s="331" t="s">
        <v>237</v>
      </c>
      <c r="E85" s="332" t="s">
        <v>6</v>
      </c>
      <c r="F85" s="332" t="s">
        <v>6</v>
      </c>
      <c r="G85" s="332" t="s">
        <v>6</v>
      </c>
      <c r="H85" s="332" t="s">
        <v>6</v>
      </c>
      <c r="I85" s="332" t="s">
        <v>6</v>
      </c>
      <c r="J85" s="332" t="s">
        <v>6</v>
      </c>
      <c r="K85" s="332" t="s">
        <v>6</v>
      </c>
      <c r="L85" s="333" t="s">
        <v>6</v>
      </c>
    </row>
    <row r="86" spans="4:12" s="326" customFormat="1" ht="30.75" customHeight="1" x14ac:dyDescent="0.2">
      <c r="D86" s="334" t="s">
        <v>6</v>
      </c>
      <c r="E86" s="335" t="s">
        <v>6</v>
      </c>
      <c r="F86" s="335" t="s">
        <v>6</v>
      </c>
      <c r="G86" s="335" t="s">
        <v>6</v>
      </c>
      <c r="H86" s="335" t="s">
        <v>6</v>
      </c>
      <c r="I86" s="335" t="s">
        <v>6</v>
      </c>
      <c r="J86" s="335" t="e">
        <f>H86+K86</f>
        <v>#VALUE!</v>
      </c>
      <c r="K86" s="335" t="s">
        <v>6</v>
      </c>
      <c r="L86" s="336" t="s">
        <v>6</v>
      </c>
    </row>
    <row r="87" spans="4:12" s="326" customFormat="1" ht="15.75" customHeight="1" thickBot="1" x14ac:dyDescent="0.25">
      <c r="D87" s="337"/>
      <c r="E87" s="338"/>
      <c r="F87" s="338" t="s">
        <v>6</v>
      </c>
      <c r="G87" s="338"/>
      <c r="H87" s="339" t="s">
        <v>6</v>
      </c>
      <c r="I87" s="339"/>
      <c r="J87" s="339"/>
      <c r="K87" s="338" t="s">
        <v>6</v>
      </c>
      <c r="L87" s="340" t="s">
        <v>6</v>
      </c>
    </row>
    <row r="88" spans="4:12" s="326" customFormat="1" ht="15.75" customHeight="1" thickTop="1" x14ac:dyDescent="0.4">
      <c r="D88" s="343"/>
    </row>
    <row r="89" spans="4:12" s="326" customFormat="1" ht="22.5" customHeight="1" x14ac:dyDescent="0.4">
      <c r="D89" s="343"/>
      <c r="E89" s="326" t="s">
        <v>256</v>
      </c>
      <c r="F89" s="344" t="s">
        <v>255</v>
      </c>
    </row>
    <row r="90" spans="4:12" s="326" customFormat="1" ht="15.75" customHeight="1" x14ac:dyDescent="0.4">
      <c r="D90" s="343"/>
    </row>
    <row r="91" spans="4:12" s="326" customFormat="1" ht="27.75" customHeight="1" x14ac:dyDescent="0.4">
      <c r="D91" s="343" t="s">
        <v>257</v>
      </c>
    </row>
    <row r="92" spans="4:12" s="326" customFormat="1" ht="15.75" customHeight="1" x14ac:dyDescent="0.4">
      <c r="D92" s="343"/>
    </row>
    <row r="93" spans="4:12" s="326" customFormat="1" ht="15.75" customHeight="1" x14ac:dyDescent="0.4">
      <c r="D93" s="343"/>
    </row>
    <row r="94" spans="4:12" s="326" customFormat="1" ht="15.75" customHeight="1" x14ac:dyDescent="0.4">
      <c r="D94" s="343"/>
    </row>
    <row r="95" spans="4:12" s="326" customFormat="1" ht="15.75" customHeight="1" x14ac:dyDescent="0.4">
      <c r="D95" s="343"/>
    </row>
    <row r="96" spans="4:12" s="326" customFormat="1" ht="15.75" customHeight="1" x14ac:dyDescent="0.4">
      <c r="D96" s="343"/>
    </row>
    <row r="97" spans="4:4" s="326" customFormat="1" ht="15.75" customHeight="1" x14ac:dyDescent="0.4">
      <c r="D97" s="343"/>
    </row>
    <row r="98" spans="4:4" s="326" customFormat="1" ht="15.75" customHeight="1" x14ac:dyDescent="0.4">
      <c r="D98" s="343"/>
    </row>
    <row r="99" spans="4:4" s="326" customFormat="1" ht="15.75" customHeight="1" x14ac:dyDescent="0.4">
      <c r="D99" s="343"/>
    </row>
    <row r="100" spans="4:4" s="326" customFormat="1" ht="15.75" customHeight="1" x14ac:dyDescent="0.4">
      <c r="D100" s="343"/>
    </row>
    <row r="101" spans="4:4" s="326" customFormat="1" ht="15.75" customHeight="1" x14ac:dyDescent="0.4">
      <c r="D101" s="343"/>
    </row>
    <row r="102" spans="4:4" s="326" customFormat="1" ht="15.75" customHeight="1" x14ac:dyDescent="0.4">
      <c r="D102" s="343"/>
    </row>
    <row r="103" spans="4:4" s="326" customFormat="1" ht="15.75" customHeight="1" x14ac:dyDescent="0.2"/>
    <row r="104" spans="4:4" s="326" customFormat="1" ht="15.75" customHeight="1" x14ac:dyDescent="0.2"/>
    <row r="105" spans="4:4" s="326" customFormat="1" ht="15.75" customHeight="1" x14ac:dyDescent="0.2"/>
    <row r="106" spans="4:4" s="326" customFormat="1" ht="15.75" customHeight="1" x14ac:dyDescent="0.2"/>
    <row r="107" spans="4:4" s="326" customFormat="1" ht="15.75" customHeight="1" x14ac:dyDescent="0.2"/>
    <row r="108" spans="4:4" s="326" customFormat="1" ht="15.75" customHeight="1" x14ac:dyDescent="0.2"/>
    <row r="109" spans="4:4" s="326" customFormat="1" ht="15.75" customHeight="1" x14ac:dyDescent="0.2"/>
    <row r="110" spans="4:4" s="326" customFormat="1" ht="15.75" customHeight="1" x14ac:dyDescent="0.2"/>
    <row r="111" spans="4:4" s="326" customFormat="1" ht="15.75" customHeight="1" x14ac:dyDescent="0.2"/>
    <row r="112" spans="4:4" s="326" customFormat="1" ht="15.75" customHeight="1" x14ac:dyDescent="0.2"/>
    <row r="113" s="326" customFormat="1" ht="15.75" customHeight="1" x14ac:dyDescent="0.2"/>
    <row r="114" s="326" customFormat="1" ht="15.75" customHeight="1" x14ac:dyDescent="0.2"/>
    <row r="115" s="326" customFormat="1" ht="15.75" customHeight="1" x14ac:dyDescent="0.2"/>
    <row r="116" s="326" customFormat="1" ht="15.75" customHeight="1" x14ac:dyDescent="0.2"/>
    <row r="117" s="326" customFormat="1" ht="15.75" customHeight="1" x14ac:dyDescent="0.2"/>
    <row r="118" s="326" customFormat="1" ht="15.75" customHeight="1" x14ac:dyDescent="0.2"/>
    <row r="119" s="326" customFormat="1" ht="15.75" customHeight="1" x14ac:dyDescent="0.2"/>
    <row r="120" s="326" customFormat="1" ht="15.75" customHeight="1" x14ac:dyDescent="0.2"/>
    <row r="121" s="326" customFormat="1" ht="15.75" customHeight="1" x14ac:dyDescent="0.2"/>
    <row r="122" s="326" customFormat="1" ht="15.75" customHeight="1" x14ac:dyDescent="0.2"/>
    <row r="123" s="326" customFormat="1" ht="15.75" customHeight="1" x14ac:dyDescent="0.2"/>
    <row r="124" s="326" customFormat="1" ht="15.75" customHeight="1" x14ac:dyDescent="0.2"/>
    <row r="125" s="326" customFormat="1" ht="15.75" customHeight="1" x14ac:dyDescent="0.2"/>
    <row r="126" s="326" customFormat="1" ht="15.75" customHeight="1" x14ac:dyDescent="0.2"/>
    <row r="127" s="326" customFormat="1" ht="15.75" customHeight="1" x14ac:dyDescent="0.2"/>
  </sheetData>
  <mergeCells count="31">
    <mergeCell ref="D73:N73"/>
    <mergeCell ref="D69:N69"/>
    <mergeCell ref="H72:J72"/>
    <mergeCell ref="J3:M3"/>
    <mergeCell ref="D3:H3"/>
    <mergeCell ref="E4:H4"/>
    <mergeCell ref="E5:H5"/>
    <mergeCell ref="E6:H6"/>
    <mergeCell ref="E7:H7"/>
    <mergeCell ref="D9:G9"/>
    <mergeCell ref="D10:G10"/>
    <mergeCell ref="H9:H10"/>
    <mergeCell ref="C21:L21"/>
    <mergeCell ref="C12:M12"/>
    <mergeCell ref="J60:O60"/>
    <mergeCell ref="D49:K49"/>
    <mergeCell ref="C47:P47"/>
    <mergeCell ref="D84:L84"/>
    <mergeCell ref="H87:J87"/>
    <mergeCell ref="I13:J13"/>
    <mergeCell ref="F62:G62"/>
    <mergeCell ref="I16:J16"/>
    <mergeCell ref="D64:K64"/>
    <mergeCell ref="H37:K37"/>
    <mergeCell ref="D37:F37"/>
    <mergeCell ref="D41:F41"/>
    <mergeCell ref="D75:L75"/>
    <mergeCell ref="H78:J78"/>
    <mergeCell ref="D59:H59"/>
    <mergeCell ref="D54:N54"/>
    <mergeCell ref="D62:E6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5"/>
  <sheetViews>
    <sheetView zoomScale="85" zoomScaleNormal="85" workbookViewId="0">
      <selection activeCell="E40" sqref="E40:L40"/>
    </sheetView>
  </sheetViews>
  <sheetFormatPr defaultRowHeight="15.75" customHeight="1" x14ac:dyDescent="0.2"/>
  <cols>
    <col min="1" max="1" width="7.7109375" style="1" customWidth="1"/>
    <col min="2" max="2" width="35" style="1" customWidth="1"/>
    <col min="3" max="3" width="17.7109375" style="1" customWidth="1"/>
    <col min="4" max="4" width="16.7109375" style="1" customWidth="1"/>
    <col min="5" max="5" width="18.42578125" style="1" customWidth="1"/>
    <col min="6" max="6" width="23" style="1" customWidth="1"/>
    <col min="7" max="7" width="16.5703125" style="1" customWidth="1"/>
    <col min="8" max="8" width="20.85546875" style="1" customWidth="1"/>
    <col min="9" max="9" width="22.85546875" style="1" customWidth="1"/>
    <col min="10" max="10" width="19.7109375" style="1" customWidth="1"/>
    <col min="11" max="11" width="25.5703125" style="1" customWidth="1"/>
    <col min="12" max="12" width="19.5703125" style="1" customWidth="1"/>
    <col min="13" max="13" width="18.140625" style="1" customWidth="1"/>
    <col min="14" max="14" width="21.42578125" style="1" customWidth="1"/>
    <col min="15" max="15" width="18.140625" style="1" customWidth="1"/>
    <col min="16" max="16" width="19.28515625" style="1" customWidth="1"/>
    <col min="17" max="17" width="13.5703125" style="1" customWidth="1"/>
    <col min="18" max="18" width="11.7109375" style="1" customWidth="1"/>
    <col min="19" max="19" width="17.42578125" style="1" customWidth="1"/>
    <col min="20" max="20" width="17.85546875" style="1" customWidth="1"/>
    <col min="21" max="21" width="1.85546875" style="43" customWidth="1"/>
    <col min="22" max="22" width="17.42578125" style="1" customWidth="1"/>
    <col min="23" max="23" width="18.140625" style="1" customWidth="1"/>
    <col min="24" max="24" width="21.7109375" style="1" customWidth="1"/>
    <col min="25" max="25" width="15.85546875" style="1" customWidth="1"/>
    <col min="26" max="26" width="1.85546875" style="43" customWidth="1"/>
    <col min="27" max="27" width="20.7109375" style="1" customWidth="1"/>
    <col min="28" max="28" width="18.42578125" style="1" customWidth="1"/>
    <col min="29" max="29" width="15.5703125" style="1" customWidth="1"/>
    <col min="30" max="30" width="19" style="1" customWidth="1"/>
    <col min="31" max="31" width="17.140625" style="1" customWidth="1"/>
    <col min="32" max="32" width="16.42578125" style="1" customWidth="1"/>
    <col min="33" max="33" width="17.7109375" style="1" customWidth="1"/>
    <col min="34" max="34" width="15.28515625" style="1" customWidth="1"/>
    <col min="35" max="16384" width="9.140625" style="1"/>
  </cols>
  <sheetData>
    <row r="1" spans="2:26" ht="28.5" customHeight="1" x14ac:dyDescent="0.35">
      <c r="B1" s="311" t="s">
        <v>158</v>
      </c>
      <c r="C1" s="311"/>
      <c r="D1" s="311"/>
      <c r="E1" s="311"/>
      <c r="F1" s="311"/>
      <c r="G1" s="311"/>
      <c r="H1" s="311"/>
      <c r="I1" s="311"/>
    </row>
    <row r="2" spans="2:26" ht="15.75" customHeight="1" x14ac:dyDescent="0.25">
      <c r="B2" s="2"/>
      <c r="C2" s="2"/>
      <c r="D2" s="2"/>
      <c r="E2" s="2"/>
      <c r="H2" s="3"/>
    </row>
    <row r="3" spans="2:26" ht="18" customHeight="1" x14ac:dyDescent="0.25">
      <c r="B3" s="316" t="s">
        <v>41</v>
      </c>
      <c r="C3" s="317"/>
      <c r="D3" s="317"/>
      <c r="E3" s="317"/>
      <c r="F3" s="318"/>
    </row>
    <row r="4" spans="2:26" ht="18" customHeight="1" x14ac:dyDescent="0.2">
      <c r="B4" s="75" t="s">
        <v>72</v>
      </c>
      <c r="C4" s="289" t="s">
        <v>71</v>
      </c>
      <c r="D4" s="290"/>
      <c r="E4" s="290"/>
      <c r="F4" s="312"/>
    </row>
    <row r="5" spans="2:26" ht="18" customHeight="1" x14ac:dyDescent="0.2">
      <c r="B5" s="75" t="s">
        <v>51</v>
      </c>
      <c r="C5" s="289" t="s">
        <v>42</v>
      </c>
      <c r="D5" s="290"/>
      <c r="E5" s="290"/>
      <c r="F5" s="312"/>
    </row>
    <row r="6" spans="2:26" ht="18" customHeight="1" x14ac:dyDescent="0.2">
      <c r="B6" s="75" t="s">
        <v>52</v>
      </c>
      <c r="C6" s="289" t="s">
        <v>43</v>
      </c>
      <c r="D6" s="290"/>
      <c r="E6" s="290"/>
      <c r="F6" s="312"/>
    </row>
    <row r="7" spans="2:26" ht="18" customHeight="1" x14ac:dyDescent="0.2">
      <c r="B7" s="75" t="s">
        <v>53</v>
      </c>
      <c r="C7" s="289" t="s">
        <v>44</v>
      </c>
      <c r="D7" s="290"/>
      <c r="E7" s="290"/>
      <c r="F7" s="312"/>
    </row>
    <row r="8" spans="2:26" ht="18" customHeight="1" x14ac:dyDescent="0.2"/>
    <row r="9" spans="2:26" ht="18" customHeight="1" x14ac:dyDescent="0.2"/>
    <row r="10" spans="2:26" ht="18" customHeight="1" x14ac:dyDescent="0.2">
      <c r="I10" s="1">
        <f>190-E17</f>
        <v>49</v>
      </c>
    </row>
    <row r="11" spans="2:26" ht="37.5" customHeight="1" x14ac:dyDescent="0.2">
      <c r="B11" s="5"/>
      <c r="C11" s="5"/>
      <c r="D11" s="36" t="s">
        <v>0</v>
      </c>
      <c r="E11" s="36" t="s">
        <v>1</v>
      </c>
      <c r="F11" s="36" t="s">
        <v>37</v>
      </c>
      <c r="G11" s="6"/>
      <c r="H11" s="6"/>
      <c r="I11" s="6">
        <f>I10/12</f>
        <v>4.083333333333333</v>
      </c>
      <c r="J11" s="5"/>
      <c r="K11" s="5"/>
      <c r="L11" s="5"/>
    </row>
    <row r="12" spans="2:26" ht="15.75" customHeight="1" x14ac:dyDescent="0.2">
      <c r="B12" s="5"/>
      <c r="C12" s="7"/>
      <c r="D12" s="307" t="s">
        <v>2</v>
      </c>
      <c r="E12" s="308"/>
      <c r="F12" s="309"/>
      <c r="G12" s="307" t="s">
        <v>3</v>
      </c>
      <c r="H12" s="308"/>
      <c r="I12" s="309"/>
      <c r="J12" s="5"/>
      <c r="K12" s="5"/>
      <c r="L12" s="5"/>
    </row>
    <row r="13" spans="2:26" s="6" customFormat="1" ht="15.75" customHeight="1" x14ac:dyDescent="0.25">
      <c r="B13" s="33" t="s">
        <v>4</v>
      </c>
      <c r="C13" s="34" t="s">
        <v>5</v>
      </c>
      <c r="D13" s="34" t="s">
        <v>6</v>
      </c>
      <c r="E13" s="34" t="s">
        <v>7</v>
      </c>
      <c r="F13" s="34" t="s">
        <v>8</v>
      </c>
      <c r="G13" s="34" t="s">
        <v>9</v>
      </c>
      <c r="H13" s="34" t="s">
        <v>10</v>
      </c>
      <c r="I13" s="35" t="s">
        <v>11</v>
      </c>
      <c r="U13" s="44"/>
      <c r="Z13" s="44"/>
    </row>
    <row r="14" spans="2:26" ht="15.75" customHeight="1" x14ac:dyDescent="0.25">
      <c r="B14" s="18" t="s">
        <v>12</v>
      </c>
      <c r="C14" s="19">
        <v>100</v>
      </c>
      <c r="D14" s="19">
        <v>13</v>
      </c>
      <c r="E14" s="20">
        <f>180*2/3</f>
        <v>120</v>
      </c>
      <c r="F14" s="19">
        <v>13</v>
      </c>
      <c r="G14" s="21">
        <f t="shared" ref="G14:G21" si="0">D14*C14</f>
        <v>1300</v>
      </c>
      <c r="H14" s="86">
        <f t="shared" ref="H14:H21" si="1">E14*C14</f>
        <v>12000</v>
      </c>
      <c r="I14" s="87">
        <f t="shared" ref="I14:I21" si="2">F14*C14</f>
        <v>1300</v>
      </c>
      <c r="J14" s="3" t="s">
        <v>30</v>
      </c>
      <c r="L14" s="5"/>
    </row>
    <row r="15" spans="2:26" ht="15.75" customHeight="1" x14ac:dyDescent="0.2">
      <c r="B15" s="28" t="s">
        <v>13</v>
      </c>
      <c r="C15" s="29">
        <v>32</v>
      </c>
      <c r="D15" s="11">
        <v>13</v>
      </c>
      <c r="E15" s="30">
        <f>180*2/3+7</f>
        <v>127</v>
      </c>
      <c r="F15" s="11">
        <v>13</v>
      </c>
      <c r="G15" s="29">
        <f t="shared" si="0"/>
        <v>416</v>
      </c>
      <c r="H15" s="86">
        <f t="shared" si="1"/>
        <v>4064</v>
      </c>
      <c r="I15" s="87">
        <f t="shared" si="2"/>
        <v>416</v>
      </c>
      <c r="J15" s="5"/>
      <c r="L15" s="5"/>
    </row>
    <row r="16" spans="2:26" ht="15.75" customHeight="1" x14ac:dyDescent="0.25">
      <c r="B16" s="28" t="s">
        <v>14</v>
      </c>
      <c r="C16" s="29">
        <v>9</v>
      </c>
      <c r="D16" s="11">
        <v>13</v>
      </c>
      <c r="E16" s="11">
        <f>180+10/2</f>
        <v>185</v>
      </c>
      <c r="F16" s="11">
        <v>13</v>
      </c>
      <c r="G16" s="29">
        <f t="shared" si="0"/>
        <v>117</v>
      </c>
      <c r="H16" s="86">
        <f t="shared" si="1"/>
        <v>1665</v>
      </c>
      <c r="I16" s="87">
        <f t="shared" si="2"/>
        <v>117</v>
      </c>
      <c r="J16" s="3" t="s">
        <v>34</v>
      </c>
      <c r="L16" s="5"/>
    </row>
    <row r="17" spans="2:26" ht="15.75" customHeight="1" x14ac:dyDescent="0.25">
      <c r="B17" s="28" t="s">
        <v>162</v>
      </c>
      <c r="C17" s="11">
        <v>173</v>
      </c>
      <c r="D17" s="11">
        <v>13</v>
      </c>
      <c r="E17" s="11">
        <v>141</v>
      </c>
      <c r="F17" s="11">
        <v>16</v>
      </c>
      <c r="G17" s="29">
        <f t="shared" si="0"/>
        <v>2249</v>
      </c>
      <c r="H17" s="86">
        <f t="shared" si="1"/>
        <v>24393</v>
      </c>
      <c r="I17" s="87">
        <f t="shared" si="2"/>
        <v>2768</v>
      </c>
      <c r="J17" s="3" t="s">
        <v>31</v>
      </c>
      <c r="L17" s="5"/>
    </row>
    <row r="18" spans="2:26" ht="15.75" customHeight="1" x14ac:dyDescent="0.25">
      <c r="B18" s="28" t="s">
        <v>161</v>
      </c>
      <c r="C18" s="11">
        <v>30</v>
      </c>
      <c r="D18" s="11">
        <v>13</v>
      </c>
      <c r="E18" s="11">
        <v>132</v>
      </c>
      <c r="F18" s="11">
        <v>34</v>
      </c>
      <c r="G18" s="29">
        <f t="shared" si="0"/>
        <v>390</v>
      </c>
      <c r="H18" s="86">
        <f t="shared" si="1"/>
        <v>3960</v>
      </c>
      <c r="I18" s="87">
        <f t="shared" si="2"/>
        <v>1020</v>
      </c>
      <c r="J18" s="5"/>
      <c r="K18" s="3"/>
      <c r="L18" s="5"/>
    </row>
    <row r="19" spans="2:26" ht="15.75" customHeight="1" x14ac:dyDescent="0.2">
      <c r="B19" s="28" t="s">
        <v>17</v>
      </c>
      <c r="C19" s="11">
        <v>62</v>
      </c>
      <c r="D19" s="11">
        <v>13</v>
      </c>
      <c r="E19" s="11">
        <v>120</v>
      </c>
      <c r="F19" s="11">
        <v>6</v>
      </c>
      <c r="G19" s="29">
        <f t="shared" si="0"/>
        <v>806</v>
      </c>
      <c r="H19" s="86">
        <f t="shared" si="1"/>
        <v>7440</v>
      </c>
      <c r="I19" s="87">
        <f t="shared" si="2"/>
        <v>372</v>
      </c>
      <c r="J19" s="5"/>
      <c r="K19" s="5"/>
      <c r="L19" s="5"/>
    </row>
    <row r="20" spans="2:26" ht="15.75" customHeight="1" x14ac:dyDescent="0.2">
      <c r="B20" s="28" t="s">
        <v>18</v>
      </c>
      <c r="C20" s="11">
        <v>10</v>
      </c>
      <c r="D20" s="11">
        <v>13</v>
      </c>
      <c r="E20" s="11">
        <v>110</v>
      </c>
      <c r="F20" s="11">
        <v>6</v>
      </c>
      <c r="G20" s="29">
        <f t="shared" si="0"/>
        <v>130</v>
      </c>
      <c r="H20" s="86">
        <f t="shared" si="1"/>
        <v>1100</v>
      </c>
      <c r="I20" s="87">
        <f t="shared" si="2"/>
        <v>60</v>
      </c>
      <c r="J20" s="5"/>
      <c r="K20" s="5"/>
      <c r="L20" s="5"/>
    </row>
    <row r="21" spans="2:26" ht="15.75" customHeight="1" x14ac:dyDescent="0.25">
      <c r="B21" s="28" t="s">
        <v>19</v>
      </c>
      <c r="C21" s="11">
        <v>60</v>
      </c>
      <c r="D21" s="11">
        <v>13</v>
      </c>
      <c r="E21" s="30">
        <f>(1/2)*(2/3)*190</f>
        <v>63.333333333333329</v>
      </c>
      <c r="F21" s="11">
        <v>26</v>
      </c>
      <c r="G21" s="29">
        <f t="shared" si="0"/>
        <v>780</v>
      </c>
      <c r="H21" s="86">
        <f t="shared" si="1"/>
        <v>3799.9999999999995</v>
      </c>
      <c r="I21" s="87">
        <f t="shared" si="2"/>
        <v>1560</v>
      </c>
      <c r="J21" s="5"/>
      <c r="K21" s="3"/>
      <c r="L21" s="5"/>
    </row>
    <row r="22" spans="2:26" ht="15.75" customHeight="1" x14ac:dyDescent="0.2">
      <c r="B22" s="18" t="s">
        <v>32</v>
      </c>
      <c r="C22" s="19">
        <v>60</v>
      </c>
      <c r="D22" s="19">
        <v>13</v>
      </c>
      <c r="E22" s="20">
        <f>H42</f>
        <v>36</v>
      </c>
      <c r="F22" s="19">
        <v>10</v>
      </c>
      <c r="G22" s="21">
        <f>D22*C22</f>
        <v>780</v>
      </c>
      <c r="H22" s="85">
        <f>E22*C22</f>
        <v>2160</v>
      </c>
      <c r="I22" s="90">
        <f>F22*C22</f>
        <v>600</v>
      </c>
      <c r="J22" s="5"/>
      <c r="K22" s="5"/>
      <c r="L22" s="5"/>
    </row>
    <row r="23" spans="2:26" ht="15.75" customHeight="1" x14ac:dyDescent="0.2">
      <c r="B23" s="23" t="s">
        <v>33</v>
      </c>
      <c r="C23" s="24">
        <v>55</v>
      </c>
      <c r="D23" s="25">
        <v>13</v>
      </c>
      <c r="E23" s="26">
        <f>E42-G42</f>
        <v>157</v>
      </c>
      <c r="F23" s="25">
        <v>13</v>
      </c>
      <c r="G23" s="24">
        <f>D23*C23</f>
        <v>715</v>
      </c>
      <c r="H23" s="88">
        <f>E23*C23</f>
        <v>8635</v>
      </c>
      <c r="I23" s="89">
        <f>F23*C23</f>
        <v>715</v>
      </c>
      <c r="J23" s="8"/>
      <c r="K23" s="5"/>
      <c r="L23" s="5"/>
    </row>
    <row r="24" spans="2:26" ht="15.75" customHeight="1" x14ac:dyDescent="0.2">
      <c r="B24" s="5"/>
      <c r="C24" s="5"/>
      <c r="D24" s="5"/>
      <c r="E24" s="5"/>
      <c r="F24" s="5"/>
      <c r="G24" s="8"/>
      <c r="H24" s="5"/>
      <c r="I24" s="5"/>
      <c r="J24" s="5"/>
      <c r="K24" s="5"/>
      <c r="L24" s="5"/>
    </row>
    <row r="25" spans="2:26" ht="34.5" customHeight="1" x14ac:dyDescent="0.25">
      <c r="B25" s="70" t="s">
        <v>35</v>
      </c>
      <c r="C25" s="5"/>
      <c r="D25" s="5"/>
      <c r="E25" s="5"/>
      <c r="F25" s="9" t="s">
        <v>20</v>
      </c>
      <c r="G25" s="5">
        <f>SUM(G14:G21)</f>
        <v>6188</v>
      </c>
      <c r="H25" s="5"/>
      <c r="I25" s="5"/>
      <c r="J25" s="5"/>
      <c r="K25" s="5"/>
      <c r="L25" s="5"/>
    </row>
    <row r="26" spans="2:26" ht="15.75" customHeight="1" x14ac:dyDescent="0.25">
      <c r="B26" s="74" t="s">
        <v>21</v>
      </c>
      <c r="C26" s="5">
        <f>SUM(C14:C21)</f>
        <v>476</v>
      </c>
      <c r="D26" s="5"/>
      <c r="E26" s="5"/>
      <c r="F26" s="9" t="s">
        <v>22</v>
      </c>
      <c r="G26" s="5"/>
      <c r="H26" s="5">
        <f>SUM(H14:H21)</f>
        <v>58422</v>
      </c>
      <c r="I26" s="5"/>
      <c r="J26" s="5"/>
      <c r="K26" s="5"/>
      <c r="L26" s="5"/>
    </row>
    <row r="27" spans="2:26" ht="15.75" customHeight="1" x14ac:dyDescent="0.25">
      <c r="B27" s="5"/>
      <c r="C27" s="5"/>
      <c r="D27" s="5"/>
      <c r="E27" s="5"/>
      <c r="F27" s="9" t="s">
        <v>23</v>
      </c>
      <c r="G27" s="5"/>
      <c r="H27" s="5"/>
      <c r="I27" s="5">
        <f>SUM(I14:I21)</f>
        <v>7613</v>
      </c>
      <c r="J27" s="5"/>
      <c r="K27" s="5"/>
    </row>
    <row r="28" spans="2:26" ht="15.75" customHeight="1" x14ac:dyDescent="0.2">
      <c r="B28" s="310" t="s">
        <v>24</v>
      </c>
      <c r="C28" s="310"/>
      <c r="D28" s="310"/>
      <c r="J28" s="5"/>
      <c r="K28" s="5"/>
      <c r="L28" s="5"/>
    </row>
    <row r="29" spans="2:26" ht="15.75" customHeight="1" x14ac:dyDescent="0.2">
      <c r="B29" s="72" t="s">
        <v>25</v>
      </c>
      <c r="C29" s="72" t="s">
        <v>26</v>
      </c>
      <c r="D29" s="72" t="s">
        <v>27</v>
      </c>
      <c r="K29" s="5"/>
      <c r="L29" s="5"/>
      <c r="M29" s="5"/>
    </row>
    <row r="30" spans="2:26" ht="15.75" customHeight="1" x14ac:dyDescent="0.2">
      <c r="B30" s="71">
        <f>G25/C26</f>
        <v>13</v>
      </c>
      <c r="C30" s="73">
        <f>H26/C26</f>
        <v>122.73529411764706</v>
      </c>
      <c r="D30" s="73">
        <f>I27/C26</f>
        <v>15.993697478991596</v>
      </c>
      <c r="K30" s="5"/>
      <c r="M30" s="5"/>
    </row>
    <row r="32" spans="2:26" s="15" customFormat="1" ht="15.75" customHeight="1" x14ac:dyDescent="0.2">
      <c r="B32" s="16"/>
      <c r="C32" s="17"/>
      <c r="D32" s="17"/>
      <c r="E32" s="17"/>
      <c r="F32" s="17"/>
      <c r="G32" s="17"/>
      <c r="H32" s="17"/>
      <c r="I32" s="17"/>
      <c r="J32" s="17"/>
      <c r="K32" s="17"/>
      <c r="L32" s="17"/>
      <c r="U32" s="43"/>
      <c r="Z32" s="43"/>
    </row>
    <row r="33" spans="1:36" ht="15.75" customHeight="1" x14ac:dyDescent="0.25">
      <c r="B33" s="10"/>
      <c r="C33" s="5"/>
      <c r="D33" s="5"/>
      <c r="E33" s="5"/>
      <c r="F33" s="5"/>
      <c r="G33" s="5"/>
      <c r="H33" s="5"/>
      <c r="I33" s="5"/>
      <c r="J33" s="5"/>
      <c r="K33" s="5"/>
      <c r="L33" s="5"/>
    </row>
    <row r="34" spans="1:36" ht="29.25" customHeight="1" x14ac:dyDescent="0.25">
      <c r="B34" s="70" t="s">
        <v>163</v>
      </c>
      <c r="C34" s="1" t="s">
        <v>166</v>
      </c>
      <c r="D34" s="5" t="s">
        <v>167</v>
      </c>
      <c r="E34" s="5"/>
      <c r="F34" s="9" t="s">
        <v>20</v>
      </c>
      <c r="G34" s="5">
        <f>SUM(G14:G23)</f>
        <v>7683</v>
      </c>
      <c r="H34" s="5"/>
      <c r="I34" s="5"/>
      <c r="J34" s="5"/>
      <c r="K34" s="5"/>
      <c r="L34" s="5"/>
    </row>
    <row r="35" spans="1:36" ht="15.75" customHeight="1" x14ac:dyDescent="0.25">
      <c r="B35" s="74" t="s">
        <v>21</v>
      </c>
      <c r="C35" s="94">
        <f>C26+C22+C23</f>
        <v>591</v>
      </c>
      <c r="D35" s="1">
        <f>C35-173</f>
        <v>418</v>
      </c>
      <c r="F35" s="9" t="s">
        <v>22</v>
      </c>
      <c r="G35" s="5"/>
      <c r="H35" s="91">
        <f>SUM(H14:H23)</f>
        <v>69217</v>
      </c>
      <c r="I35" s="5"/>
    </row>
    <row r="36" spans="1:36" ht="15.75" customHeight="1" x14ac:dyDescent="0.25">
      <c r="F36" s="9" t="s">
        <v>23</v>
      </c>
      <c r="G36" s="5"/>
      <c r="H36" s="5"/>
      <c r="I36" s="5">
        <f>SUM(I14:I23)</f>
        <v>8928</v>
      </c>
    </row>
    <row r="37" spans="1:36" ht="15.75" customHeight="1" x14ac:dyDescent="0.2">
      <c r="B37" s="310" t="s">
        <v>24</v>
      </c>
      <c r="C37" s="310"/>
      <c r="D37" s="310"/>
      <c r="E37" s="5"/>
      <c r="F37" s="5"/>
      <c r="G37" s="8"/>
      <c r="H37" s="8"/>
      <c r="I37" s="8"/>
      <c r="J37" s="5"/>
      <c r="K37" s="5"/>
    </row>
    <row r="38" spans="1:36" ht="15.75" customHeight="1" x14ac:dyDescent="0.25">
      <c r="A38" s="3"/>
      <c r="B38" s="72" t="s">
        <v>25</v>
      </c>
      <c r="C38" s="72" t="s">
        <v>26</v>
      </c>
      <c r="D38" s="72" t="s">
        <v>27</v>
      </c>
      <c r="E38" s="5"/>
      <c r="F38" s="5"/>
      <c r="G38" s="5"/>
      <c r="H38" s="5"/>
      <c r="I38" s="5"/>
      <c r="J38" s="5"/>
      <c r="K38" s="5"/>
    </row>
    <row r="39" spans="1:36" ht="15.75" customHeight="1" x14ac:dyDescent="0.25">
      <c r="A39" s="3"/>
      <c r="B39" s="71">
        <f>G34/C35</f>
        <v>13</v>
      </c>
      <c r="C39" s="73">
        <f>H35/C35</f>
        <v>117.11844331641286</v>
      </c>
      <c r="D39" s="73">
        <f>I36/C35</f>
        <v>15.106598984771574</v>
      </c>
      <c r="E39" s="5"/>
      <c r="F39" s="5"/>
      <c r="G39" s="5"/>
      <c r="H39" s="5"/>
      <c r="I39" s="5"/>
      <c r="J39" s="6"/>
      <c r="K39" s="6"/>
    </row>
    <row r="40" spans="1:36" ht="21" customHeight="1" thickBot="1" x14ac:dyDescent="0.3">
      <c r="A40" s="3"/>
      <c r="B40" s="5"/>
      <c r="C40" s="5"/>
      <c r="D40" s="5"/>
      <c r="E40" s="313" t="s">
        <v>40</v>
      </c>
      <c r="F40" s="314"/>
      <c r="G40" s="314"/>
      <c r="H40" s="314"/>
      <c r="I40" s="314"/>
      <c r="J40" s="314"/>
      <c r="K40" s="314"/>
      <c r="L40" s="314"/>
    </row>
    <row r="41" spans="1:36" ht="107.25" customHeight="1" thickBot="1" x14ac:dyDescent="0.3">
      <c r="A41" s="3"/>
      <c r="B41" s="5">
        <f>190/2</f>
        <v>95</v>
      </c>
      <c r="C41" s="5"/>
      <c r="D41" s="5"/>
      <c r="E41" s="49" t="s">
        <v>59</v>
      </c>
      <c r="F41" s="49" t="s">
        <v>58</v>
      </c>
      <c r="G41" s="49" t="s">
        <v>160</v>
      </c>
      <c r="H41" s="49" t="s">
        <v>159</v>
      </c>
      <c r="I41" s="49" t="s">
        <v>157</v>
      </c>
      <c r="J41" s="49" t="s">
        <v>55</v>
      </c>
      <c r="K41" s="49" t="s">
        <v>70</v>
      </c>
      <c r="L41" s="49" t="s">
        <v>61</v>
      </c>
      <c r="U41" s="1"/>
      <c r="V41" s="43"/>
      <c r="Z41" s="1"/>
      <c r="AA41" s="43"/>
    </row>
    <row r="42" spans="1:36" ht="15.75" customHeight="1" thickBot="1" x14ac:dyDescent="0.3">
      <c r="A42" s="3"/>
      <c r="B42" s="9"/>
      <c r="C42" s="14"/>
      <c r="D42" s="5"/>
      <c r="E42" s="50">
        <f>180+10</f>
        <v>190</v>
      </c>
      <c r="F42" s="51">
        <f>E42-C39</f>
        <v>72.881556683587135</v>
      </c>
      <c r="G42" s="52">
        <v>33</v>
      </c>
      <c r="H42" s="52">
        <v>36</v>
      </c>
      <c r="I42" s="52">
        <f>28*2</f>
        <v>56</v>
      </c>
      <c r="J42" s="52">
        <f>5.5*39.37</f>
        <v>216.535</v>
      </c>
      <c r="K42" s="53">
        <f>PI()*2*(J42/39.37)*39.37/8*0.056818</f>
        <v>9.6628208579235366</v>
      </c>
      <c r="L42" s="54">
        <v>3.0000000000000001E-3</v>
      </c>
      <c r="U42" s="1"/>
      <c r="V42" s="43"/>
      <c r="Z42" s="1"/>
      <c r="AA42" s="43"/>
    </row>
    <row r="43" spans="1:36" ht="81" customHeight="1" thickBot="1" x14ac:dyDescent="0.45">
      <c r="B43" s="5"/>
      <c r="C43" s="14"/>
      <c r="D43" s="5"/>
      <c r="E43" s="37"/>
      <c r="F43" s="37"/>
      <c r="G43" s="37"/>
      <c r="H43" s="37"/>
      <c r="I43" s="37" t="s">
        <v>47</v>
      </c>
      <c r="J43" s="37" t="s">
        <v>101</v>
      </c>
      <c r="K43" s="37" t="s">
        <v>102</v>
      </c>
      <c r="L43" s="37" t="s">
        <v>103</v>
      </c>
      <c r="S43" s="298" t="s">
        <v>164</v>
      </c>
      <c r="T43" s="298"/>
      <c r="U43" s="92"/>
      <c r="V43" s="43"/>
      <c r="W43" s="298" t="s">
        <v>79</v>
      </c>
      <c r="X43" s="298"/>
      <c r="Y43" s="298"/>
      <c r="Z43" s="298"/>
      <c r="AA43" s="43"/>
      <c r="AB43" s="300" t="s">
        <v>80</v>
      </c>
      <c r="AC43" s="300"/>
      <c r="AD43" s="300"/>
      <c r="AE43" s="300"/>
      <c r="AF43" s="300"/>
      <c r="AG43" s="300"/>
      <c r="AH43" s="300"/>
      <c r="AI43" s="300"/>
      <c r="AJ43" s="45"/>
    </row>
    <row r="44" spans="1:36" ht="30" customHeight="1" thickBot="1" x14ac:dyDescent="0.4">
      <c r="B44" s="5">
        <f>H46/12</f>
        <v>10.083333333333334</v>
      </c>
      <c r="C44" s="5"/>
      <c r="D44" s="5"/>
      <c r="E44" s="301" t="s">
        <v>88</v>
      </c>
      <c r="F44" s="302"/>
      <c r="G44" s="302"/>
      <c r="H44" s="302"/>
      <c r="I44" s="302"/>
      <c r="J44" s="302"/>
      <c r="K44" s="303"/>
      <c r="L44" s="58"/>
      <c r="M44" s="58"/>
      <c r="N44" s="58"/>
      <c r="O44" s="58"/>
      <c r="P44" s="58"/>
      <c r="Q44" s="58"/>
      <c r="R44" s="58"/>
      <c r="S44" s="58"/>
      <c r="T44" s="58"/>
      <c r="U44" s="59"/>
      <c r="V44" s="52"/>
      <c r="W44" s="52"/>
      <c r="X44" s="52"/>
      <c r="Y44" s="52"/>
      <c r="Z44" s="55"/>
      <c r="AA44" s="52"/>
      <c r="AB44" s="52"/>
      <c r="AC44" s="52"/>
      <c r="AD44" s="52"/>
      <c r="AE44" s="52"/>
      <c r="AF44" s="52"/>
      <c r="AG44" s="52"/>
      <c r="AH44" s="52"/>
    </row>
    <row r="45" spans="1:36" ht="105.75" customHeight="1" thickBot="1" x14ac:dyDescent="0.25">
      <c r="B45" s="42"/>
      <c r="C45" s="42"/>
      <c r="D45" s="42"/>
      <c r="E45" s="49" t="s">
        <v>66</v>
      </c>
      <c r="F45" s="49" t="s">
        <v>29</v>
      </c>
      <c r="G45" s="49" t="s">
        <v>28</v>
      </c>
      <c r="H45" s="84" t="s">
        <v>45</v>
      </c>
      <c r="I45" s="49" t="s">
        <v>39</v>
      </c>
      <c r="J45" s="49" t="s">
        <v>50</v>
      </c>
      <c r="K45" s="49" t="s">
        <v>49</v>
      </c>
      <c r="L45" s="49" t="s">
        <v>86</v>
      </c>
      <c r="M45" s="49" t="s">
        <v>60</v>
      </c>
      <c r="N45" s="49" t="s">
        <v>62</v>
      </c>
      <c r="O45" s="49" t="s">
        <v>63</v>
      </c>
      <c r="P45" s="49" t="s">
        <v>54</v>
      </c>
      <c r="Q45" s="49" t="s">
        <v>64</v>
      </c>
      <c r="R45" s="49" t="s">
        <v>165</v>
      </c>
      <c r="S45" s="49" t="s">
        <v>105</v>
      </c>
      <c r="T45" s="49" t="s">
        <v>96</v>
      </c>
      <c r="U45" s="55"/>
      <c r="V45" s="49" t="s">
        <v>73</v>
      </c>
      <c r="W45" s="49" t="s">
        <v>74</v>
      </c>
      <c r="X45" s="49" t="s">
        <v>76</v>
      </c>
      <c r="Y45" s="49" t="s">
        <v>87</v>
      </c>
      <c r="Z45" s="55"/>
      <c r="AA45" s="49" t="s">
        <v>91</v>
      </c>
      <c r="AB45" s="49" t="s">
        <v>92</v>
      </c>
      <c r="AC45" s="49" t="s">
        <v>89</v>
      </c>
      <c r="AD45" s="49" t="s">
        <v>90</v>
      </c>
      <c r="AE45" s="49" t="s">
        <v>82</v>
      </c>
      <c r="AF45" s="49" t="s">
        <v>83</v>
      </c>
      <c r="AG45" s="49" t="s">
        <v>85</v>
      </c>
      <c r="AH45" s="49" t="s">
        <v>94</v>
      </c>
    </row>
    <row r="46" spans="1:36" ht="18.75" customHeight="1" thickBot="1" x14ac:dyDescent="0.25">
      <c r="B46" s="13"/>
      <c r="C46" s="13"/>
      <c r="D46" s="13"/>
      <c r="E46" s="53">
        <f>57.3*H46/J42+(Q46-R46)</f>
        <v>33.033502821569542</v>
      </c>
      <c r="F46" s="51">
        <f>(100-G46)/2</f>
        <v>33.520017899344154</v>
      </c>
      <c r="G46" s="63">
        <f>(C35*C39-C35*(E42-G42))/(H42-(E42-G42))/C35*100</f>
        <v>32.959964201311685</v>
      </c>
      <c r="H46" s="50">
        <f>E42-G42-H42</f>
        <v>121</v>
      </c>
      <c r="I46" s="52">
        <f>E42*0.0254</f>
        <v>4.8259999999999996</v>
      </c>
      <c r="J46" s="50">
        <f>H46*2/3+H42</f>
        <v>116.66666666666667</v>
      </c>
      <c r="K46" s="60">
        <f>C30-J46</f>
        <v>6.0686274509803866</v>
      </c>
      <c r="L46" s="56">
        <f>((K42/0.056818)/12)^2/(32.2*J42/12)</f>
        <v>0.34567721095203857</v>
      </c>
      <c r="M46" s="56">
        <f>C35*((K42/0.056818)/12)^2/(32.2*J42/12)</f>
        <v>204.29523167265481</v>
      </c>
      <c r="N46" s="56">
        <f>(F46/100)*C35*0.145</f>
        <v>28.724979338842974</v>
      </c>
      <c r="O46" s="56">
        <f>(G46/100)*C35*0.17</f>
        <v>33.114876033057854</v>
      </c>
      <c r="P46" s="61">
        <f>((2*F46/100)*C35/(2*N46))-((G46/100)*C35/(O46))</f>
        <v>1.0141987829614614</v>
      </c>
      <c r="Q46" s="57">
        <f>(F46/100)*C35/N46</f>
        <v>6.8965517241379315</v>
      </c>
      <c r="R46" s="57">
        <f>(G46/100)*C35/O46</f>
        <v>5.8823529411764701</v>
      </c>
      <c r="S46" s="53">
        <f>(SQRT(H46*32.2*12/P46))*0.056818</f>
        <v>12.199320576389647</v>
      </c>
      <c r="T46" s="60">
        <f>S46/K42</f>
        <v>1.2625009565800007</v>
      </c>
      <c r="U46" s="55"/>
      <c r="V46" s="56">
        <f>M46/(F46/100*C35)</f>
        <v>1.0312560452385737</v>
      </c>
      <c r="W46" s="56">
        <f>M46/(G46/100*C35)</f>
        <v>1.0487790849550798</v>
      </c>
      <c r="X46" s="57">
        <f>I42*(H46-((E42-G42)-C39))/(2*H46*D39)</f>
        <v>1.2425834592256881</v>
      </c>
      <c r="Y46" s="61">
        <f>X46/L46</f>
        <v>3.5946351678881485</v>
      </c>
      <c r="Z46" s="55"/>
      <c r="AA46" s="57">
        <f>0.5*D39/((E42-G42)-C39)</f>
        <v>0.18939329656342813</v>
      </c>
      <c r="AB46" s="57">
        <f>D39/((E42-G42)-C39)</f>
        <v>0.37878659312685625</v>
      </c>
      <c r="AC46" s="56">
        <f>-AG46*AA46</f>
        <v>36.892561983471076</v>
      </c>
      <c r="AD46" s="56">
        <f>-AG46*AB46</f>
        <v>73.785123966942152</v>
      </c>
      <c r="AE46" s="56">
        <f>(0.5*C35*D39-(H46/100)*(AA49-AC46)-((E42-G42)-C39)*C35)/H46</f>
        <v>-157.53190082644625</v>
      </c>
      <c r="AF46" s="56">
        <f>(0.5*C35*D39-(H46/100)*(AB49-AD46)-((E42-G42)-C39)*C35)/H46</f>
        <v>-157.16297520661155</v>
      </c>
      <c r="AG46" s="56">
        <f>-G46*C35/100</f>
        <v>-194.79338842975204</v>
      </c>
      <c r="AH46" s="60">
        <f>ABS(AG46/AD46)</f>
        <v>2.6400089605734762</v>
      </c>
    </row>
    <row r="47" spans="1:36" ht="194.25" customHeight="1" x14ac:dyDescent="0.2">
      <c r="B47" s="5"/>
      <c r="C47" s="14"/>
      <c r="D47" s="14"/>
      <c r="E47" s="37" t="s">
        <v>99</v>
      </c>
      <c r="F47" s="37"/>
      <c r="G47" s="40" t="s">
        <v>100</v>
      </c>
      <c r="H47" s="37" t="s">
        <v>48</v>
      </c>
      <c r="I47" s="37"/>
      <c r="J47" s="37" t="s">
        <v>46</v>
      </c>
      <c r="K47" s="40" t="s">
        <v>68</v>
      </c>
      <c r="L47" s="37"/>
      <c r="M47" s="38"/>
      <c r="N47" s="38"/>
      <c r="P47" s="40" t="s">
        <v>67</v>
      </c>
      <c r="S47" s="37" t="s">
        <v>104</v>
      </c>
      <c r="T47" s="37"/>
      <c r="V47" s="297" t="s">
        <v>78</v>
      </c>
      <c r="W47" s="297"/>
      <c r="X47" s="39" t="s">
        <v>77</v>
      </c>
      <c r="Y47" s="37"/>
      <c r="AA47" s="37" t="s">
        <v>75</v>
      </c>
      <c r="AB47" s="37" t="s">
        <v>75</v>
      </c>
      <c r="AC47" s="37"/>
      <c r="AD47" s="37"/>
      <c r="AE47" s="296" t="s">
        <v>84</v>
      </c>
      <c r="AF47" s="296"/>
      <c r="AG47" s="37"/>
    </row>
    <row r="48" spans="1:36" s="43" customFormat="1" ht="21" customHeight="1" x14ac:dyDescent="0.35">
      <c r="J48" s="76"/>
      <c r="K48" s="76"/>
      <c r="AE48" s="48" t="s">
        <v>93</v>
      </c>
      <c r="AF48" s="48"/>
      <c r="AG48" s="48"/>
    </row>
    <row r="49" spans="2:38" ht="35.25" customHeight="1" x14ac:dyDescent="0.4">
      <c r="B49" s="299" t="s">
        <v>106</v>
      </c>
      <c r="C49" s="299"/>
      <c r="D49" s="299"/>
      <c r="J49" s="5"/>
      <c r="K49" s="5"/>
      <c r="V49" s="46" t="s">
        <v>98</v>
      </c>
      <c r="W49" s="46"/>
      <c r="X49" s="46"/>
      <c r="Y49" s="46"/>
      <c r="AA49" s="41"/>
      <c r="AB49" s="41"/>
      <c r="AC49" s="41"/>
      <c r="AD49" s="41"/>
      <c r="AE49" s="48"/>
      <c r="AF49" s="48"/>
      <c r="AG49" s="48"/>
    </row>
    <row r="50" spans="2:38" ht="15.75" customHeight="1" x14ac:dyDescent="0.35">
      <c r="J50" s="5"/>
      <c r="K50" s="5"/>
      <c r="V50" s="46"/>
      <c r="W50" s="46"/>
      <c r="X50" s="46"/>
      <c r="Y50" s="46"/>
      <c r="AA50" s="41"/>
      <c r="AB50" s="41"/>
      <c r="AC50" s="41"/>
      <c r="AD50" s="41"/>
      <c r="AE50" s="48"/>
      <c r="AF50" s="48"/>
      <c r="AG50" s="48"/>
    </row>
    <row r="51" spans="2:38" ht="15.75" customHeight="1" x14ac:dyDescent="0.35">
      <c r="B51" s="1" t="s">
        <v>110</v>
      </c>
      <c r="J51" s="5"/>
      <c r="K51" s="5"/>
      <c r="M51" s="5"/>
      <c r="N51" s="5"/>
      <c r="O51" s="5"/>
      <c r="V51" s="46"/>
      <c r="W51" s="46"/>
      <c r="X51" s="46"/>
      <c r="Y51" s="46"/>
      <c r="AC51" s="41"/>
      <c r="AD51" s="41"/>
      <c r="AE51" s="48"/>
      <c r="AF51" s="48"/>
      <c r="AG51" s="48"/>
    </row>
    <row r="52" spans="2:38" ht="15.75" customHeight="1" thickBot="1" x14ac:dyDescent="0.4">
      <c r="B52" s="1" t="s">
        <v>107</v>
      </c>
      <c r="J52" s="5"/>
      <c r="K52" s="5"/>
      <c r="M52" s="5" t="s">
        <v>113</v>
      </c>
      <c r="N52" s="5"/>
      <c r="O52" s="5"/>
      <c r="V52" s="46"/>
      <c r="W52" s="46"/>
      <c r="X52" s="46"/>
      <c r="Y52" s="46"/>
      <c r="AE52" s="48"/>
      <c r="AF52" s="48"/>
      <c r="AG52" s="48"/>
    </row>
    <row r="53" spans="2:38" ht="24.75" customHeight="1" thickBot="1" x14ac:dyDescent="0.4">
      <c r="B53" s="1" t="s">
        <v>108</v>
      </c>
      <c r="E53" s="77" t="s">
        <v>40</v>
      </c>
      <c r="F53" s="78"/>
      <c r="G53" s="78"/>
      <c r="H53" s="78"/>
      <c r="I53" s="78"/>
      <c r="J53" s="78"/>
      <c r="K53" s="78"/>
      <c r="L53" s="77"/>
      <c r="M53" s="78"/>
      <c r="N53" s="78"/>
      <c r="O53" s="78"/>
      <c r="P53" s="304" t="s">
        <v>130</v>
      </c>
      <c r="Q53" s="305"/>
      <c r="R53" s="306"/>
      <c r="U53" s="1"/>
      <c r="AA53" s="46"/>
      <c r="AB53" s="46"/>
      <c r="AC53" s="46"/>
      <c r="AD53" s="46"/>
      <c r="AE53" s="43"/>
      <c r="AJ53" s="48"/>
      <c r="AK53" s="48"/>
      <c r="AL53" s="48"/>
    </row>
    <row r="54" spans="2:38" ht="78.75" customHeight="1" thickBot="1" x14ac:dyDescent="0.25">
      <c r="E54" s="49" t="s">
        <v>129</v>
      </c>
      <c r="F54" s="49" t="s">
        <v>128</v>
      </c>
      <c r="G54" s="49" t="s">
        <v>121</v>
      </c>
      <c r="H54" s="49" t="s">
        <v>122</v>
      </c>
      <c r="I54" s="49" t="s">
        <v>120</v>
      </c>
      <c r="J54" s="49" t="s">
        <v>123</v>
      </c>
      <c r="K54" s="49" t="s">
        <v>109</v>
      </c>
      <c r="L54" s="49" t="s">
        <v>125</v>
      </c>
      <c r="M54" s="49" t="s">
        <v>126</v>
      </c>
      <c r="N54" s="49" t="s">
        <v>127</v>
      </c>
      <c r="O54" s="49" t="s">
        <v>124</v>
      </c>
      <c r="P54" s="49" t="s">
        <v>116</v>
      </c>
      <c r="Q54" s="49" t="s">
        <v>115</v>
      </c>
      <c r="R54" s="49" t="s">
        <v>114</v>
      </c>
      <c r="S54" s="5"/>
      <c r="T54" s="5"/>
      <c r="U54" s="5"/>
      <c r="V54" s="5"/>
      <c r="Z54" s="1"/>
      <c r="AD54" s="43"/>
      <c r="AE54" s="46"/>
      <c r="AF54" s="46"/>
      <c r="AG54" s="46"/>
      <c r="AH54" s="46"/>
      <c r="AI54" s="43"/>
    </row>
    <row r="55" spans="2:38" ht="27" customHeight="1" thickBot="1" x14ac:dyDescent="0.25">
      <c r="E55" s="50">
        <v>50</v>
      </c>
      <c r="F55" s="50">
        <v>20</v>
      </c>
      <c r="G55" s="50">
        <f>31*40</f>
        <v>1240</v>
      </c>
      <c r="H55" s="50">
        <f>190*20+50*20</f>
        <v>4800</v>
      </c>
      <c r="I55" s="82">
        <f>130*COS(F55*PI()/180)</f>
        <v>122.16004070216809</v>
      </c>
      <c r="J55" s="51">
        <f>130*7*COS(E55*PI()/180)+72*130*SIN(E55*PI()/180)</f>
        <v>7755.1127124083851</v>
      </c>
      <c r="K55" s="52">
        <v>35</v>
      </c>
      <c r="L55" s="52">
        <v>0.2</v>
      </c>
      <c r="M55" s="52">
        <v>0.9</v>
      </c>
      <c r="N55" s="52">
        <v>1</v>
      </c>
      <c r="O55" s="52">
        <v>1.1000000000000001</v>
      </c>
      <c r="P55" s="50">
        <f>19+6*2</f>
        <v>31</v>
      </c>
      <c r="Q55" s="50">
        <f>E42</f>
        <v>190</v>
      </c>
      <c r="R55" s="50">
        <v>2.4197908000000001E-2</v>
      </c>
      <c r="S55" s="5"/>
      <c r="T55" s="5"/>
      <c r="U55" s="5"/>
      <c r="V55" s="5"/>
      <c r="Z55" s="1"/>
      <c r="AD55" s="43"/>
      <c r="AI55" s="43"/>
    </row>
    <row r="56" spans="2:38" ht="78" customHeight="1" thickBot="1" x14ac:dyDescent="0.25">
      <c r="C56" s="1">
        <v>6.94E-3</v>
      </c>
      <c r="J56" s="37" t="s">
        <v>131</v>
      </c>
      <c r="K56" s="37" t="s">
        <v>139</v>
      </c>
      <c r="L56" s="315" t="s">
        <v>153</v>
      </c>
      <c r="M56" s="315"/>
      <c r="N56" s="315"/>
      <c r="O56" s="315"/>
      <c r="P56" s="5"/>
      <c r="R56" s="37" t="s">
        <v>117</v>
      </c>
      <c r="U56" s="1"/>
      <c r="X56" s="43"/>
      <c r="Z56" s="1"/>
      <c r="AC56" s="43"/>
    </row>
    <row r="57" spans="2:38" ht="24" customHeight="1" thickBot="1" x14ac:dyDescent="0.4">
      <c r="E57" s="80" t="s">
        <v>88</v>
      </c>
      <c r="F57" s="80"/>
      <c r="G57" s="58"/>
      <c r="H57" s="58"/>
      <c r="I57" s="58"/>
      <c r="J57" s="58"/>
      <c r="K57" s="58"/>
      <c r="L57" s="59"/>
      <c r="M57" s="59"/>
      <c r="N57" s="5"/>
      <c r="O57" s="5"/>
      <c r="P57" s="5"/>
      <c r="U57" s="1"/>
      <c r="V57" s="43"/>
      <c r="Z57" s="1"/>
      <c r="AA57" s="43"/>
    </row>
    <row r="58" spans="2:38" ht="77.25" customHeight="1" thickBot="1" x14ac:dyDescent="0.25">
      <c r="E58" s="49" t="s">
        <v>132</v>
      </c>
      <c r="F58" s="49" t="s">
        <v>111</v>
      </c>
      <c r="G58" s="49" t="s">
        <v>118</v>
      </c>
      <c r="H58" s="49" t="s">
        <v>119</v>
      </c>
      <c r="I58" s="49" t="s">
        <v>134</v>
      </c>
      <c r="J58" s="49" t="s">
        <v>135</v>
      </c>
      <c r="K58" s="49" t="s">
        <v>136</v>
      </c>
      <c r="L58" s="49" t="s">
        <v>137</v>
      </c>
      <c r="M58" s="49" t="s">
        <v>138</v>
      </c>
      <c r="U58" s="1"/>
      <c r="V58" s="43"/>
      <c r="Z58" s="1"/>
      <c r="AA58" s="43"/>
    </row>
    <row r="59" spans="2:38" ht="15.75" customHeight="1" thickBot="1" x14ac:dyDescent="0.25">
      <c r="E59" s="83">
        <f>0.00256*(60)^2*0.00694</f>
        <v>6.3959040000000009E-2</v>
      </c>
      <c r="F59" s="83">
        <f>0.00256*(K55)^2*0.00694</f>
        <v>2.176384E-2</v>
      </c>
      <c r="G59" s="79">
        <f>(K55*17.6)*Q55/R55</f>
        <v>4836781.7581585981</v>
      </c>
      <c r="H59" s="79">
        <f>(K55*17.6)*P55/R55</f>
        <v>789159.12896271853</v>
      </c>
      <c r="I59" s="53">
        <f>G55*L55*F59</f>
        <v>5.3974323200000001</v>
      </c>
      <c r="J59" s="53">
        <f>H55*M55*F59</f>
        <v>94.019788800000001</v>
      </c>
      <c r="K59" s="53">
        <f>I55*N55*F59</f>
        <v>2.6586715802354739</v>
      </c>
      <c r="L59" s="53">
        <f>J55*O55*F59</f>
        <v>185.65913548030431</v>
      </c>
      <c r="M59" s="53">
        <f>60*E59*(L55+N55)</f>
        <v>4.6050508800000003</v>
      </c>
      <c r="U59" s="1"/>
      <c r="W59" s="43"/>
      <c r="Z59" s="1"/>
      <c r="AB59" s="43"/>
    </row>
    <row r="60" spans="2:38" ht="99.75" customHeight="1" thickBot="1" x14ac:dyDescent="0.25">
      <c r="E60" s="37" t="s">
        <v>133</v>
      </c>
      <c r="F60" s="83">
        <v>2.6541906000000001E-2</v>
      </c>
      <c r="G60" s="37" t="s">
        <v>6</v>
      </c>
      <c r="H60" s="37" t="s">
        <v>6</v>
      </c>
      <c r="I60" s="37" t="s">
        <v>6</v>
      </c>
      <c r="J60" s="37" t="s">
        <v>6</v>
      </c>
      <c r="K60" s="37" t="s">
        <v>6</v>
      </c>
      <c r="L60" s="37" t="s">
        <v>145</v>
      </c>
      <c r="M60" s="37" t="s">
        <v>133</v>
      </c>
    </row>
    <row r="61" spans="2:38" ht="81" customHeight="1" thickBot="1" x14ac:dyDescent="0.25">
      <c r="H61" s="49" t="s">
        <v>149</v>
      </c>
      <c r="I61" s="49" t="s">
        <v>140</v>
      </c>
      <c r="J61" s="49" t="s">
        <v>141</v>
      </c>
      <c r="K61" s="49" t="s">
        <v>142</v>
      </c>
      <c r="L61" s="49" t="s">
        <v>143</v>
      </c>
      <c r="M61" s="49" t="s">
        <v>155</v>
      </c>
      <c r="N61" s="49" t="s">
        <v>148</v>
      </c>
      <c r="O61" s="49" t="s">
        <v>146</v>
      </c>
    </row>
    <row r="62" spans="2:38" ht="15.75" customHeight="1" thickBot="1" x14ac:dyDescent="0.25">
      <c r="H62" s="57">
        <f>ATAN(0.5*I42/H46)*180/PI()</f>
        <v>13.029194807943744</v>
      </c>
      <c r="I62" s="53" t="s">
        <v>6</v>
      </c>
      <c r="J62" s="53" t="s">
        <v>6</v>
      </c>
      <c r="K62" s="53" t="s">
        <v>6</v>
      </c>
      <c r="L62" s="53">
        <f>F21</f>
        <v>26</v>
      </c>
      <c r="M62" s="53">
        <f>(0.5*C35)*(0.5*I42)/(F21)</f>
        <v>318.23076923076923</v>
      </c>
      <c r="N62" s="53">
        <f>(F46*C35/100)*(0.5*I42)/((F21)*COS(H62*PI()/180))</f>
        <v>218.97958186251776</v>
      </c>
      <c r="O62" s="60">
        <f>N62/L59</f>
        <v>1.179471084447381</v>
      </c>
    </row>
    <row r="63" spans="2:38" ht="130.5" customHeight="1" x14ac:dyDescent="0.2">
      <c r="H63" s="37" t="s">
        <v>150</v>
      </c>
      <c r="I63" s="37" t="s">
        <v>144</v>
      </c>
      <c r="J63" s="37" t="s">
        <v>144</v>
      </c>
      <c r="K63" s="37" t="s">
        <v>144</v>
      </c>
      <c r="L63" s="37" t="s">
        <v>147</v>
      </c>
      <c r="M63" s="37" t="s">
        <v>154</v>
      </c>
      <c r="N63" s="37" t="s">
        <v>152</v>
      </c>
      <c r="O63" s="81" t="s">
        <v>156</v>
      </c>
    </row>
    <row r="65" spans="7:8" ht="15.75" customHeight="1" x14ac:dyDescent="0.2">
      <c r="G65" s="1" t="s">
        <v>151</v>
      </c>
      <c r="H65" s="1">
        <f>COS(30*PI()/180)</f>
        <v>0.86602540378443871</v>
      </c>
    </row>
  </sheetData>
  <sheetProtection selectLockedCells="1" selectUnlockedCells="1"/>
  <mergeCells count="20">
    <mergeCell ref="B1:I1"/>
    <mergeCell ref="C7:F7"/>
    <mergeCell ref="E40:L40"/>
    <mergeCell ref="L56:O56"/>
    <mergeCell ref="B3:F3"/>
    <mergeCell ref="C4:F4"/>
    <mergeCell ref="C6:F6"/>
    <mergeCell ref="C5:F5"/>
    <mergeCell ref="P53:R53"/>
    <mergeCell ref="D12:F12"/>
    <mergeCell ref="G12:I12"/>
    <mergeCell ref="B28:D28"/>
    <mergeCell ref="B37:D37"/>
    <mergeCell ref="AE47:AF47"/>
    <mergeCell ref="V47:W47"/>
    <mergeCell ref="W43:Z43"/>
    <mergeCell ref="B49:D49"/>
    <mergeCell ref="AB43:AI43"/>
    <mergeCell ref="E44:K44"/>
    <mergeCell ref="S43:T43"/>
  </mergeCells>
  <pageMargins left="0.75" right="0.75" top="1" bottom="1"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48"/>
  <sheetViews>
    <sheetView zoomScale="85" zoomScaleNormal="85" workbookViewId="0">
      <selection activeCell="E40" sqref="E40:L40"/>
    </sheetView>
  </sheetViews>
  <sheetFormatPr defaultRowHeight="15.75" customHeight="1" x14ac:dyDescent="0.2"/>
  <cols>
    <col min="1" max="1" width="7.7109375" style="1" customWidth="1"/>
    <col min="2" max="2" width="35" style="1" customWidth="1"/>
    <col min="3" max="3" width="17.7109375" style="1" customWidth="1"/>
    <col min="4" max="4" width="16.7109375" style="1" customWidth="1"/>
    <col min="5" max="5" width="17.28515625" style="1" customWidth="1"/>
    <col min="6" max="6" width="20.140625" style="1" customWidth="1"/>
    <col min="7" max="7" width="16.5703125" style="1" customWidth="1"/>
    <col min="8" max="8" width="18.42578125" style="1" customWidth="1"/>
    <col min="9" max="9" width="22.85546875" style="1" customWidth="1"/>
    <col min="10" max="10" width="16.42578125" style="1" customWidth="1"/>
    <col min="11" max="11" width="22.7109375" style="1" customWidth="1"/>
    <col min="12" max="12" width="16.85546875" style="1" customWidth="1"/>
    <col min="13" max="13" width="17" style="1" customWidth="1"/>
    <col min="14" max="14" width="18.85546875" style="1" customWidth="1"/>
    <col min="15" max="15" width="13" style="1" customWidth="1"/>
    <col min="16" max="16" width="15.85546875" style="1" customWidth="1"/>
    <col min="17" max="17" width="13.42578125" style="1" customWidth="1"/>
    <col min="18" max="18" width="12" style="1" customWidth="1"/>
    <col min="19" max="20" width="15.85546875" style="1" customWidth="1"/>
    <col min="21" max="21" width="1.28515625" style="43" customWidth="1"/>
    <col min="22" max="25" width="15.85546875" style="1" customWidth="1"/>
    <col min="26" max="26" width="1.28515625" style="43" customWidth="1"/>
    <col min="27" max="34" width="15.85546875" style="1" customWidth="1"/>
    <col min="35" max="16384" width="9.140625" style="1"/>
  </cols>
  <sheetData>
    <row r="2" spans="2:26" ht="15.75" customHeight="1" x14ac:dyDescent="0.25">
      <c r="B2" s="2"/>
      <c r="C2" s="2"/>
      <c r="D2" s="2"/>
      <c r="E2" s="2"/>
      <c r="H2" s="3"/>
    </row>
    <row r="3" spans="2:26" ht="36" customHeight="1" x14ac:dyDescent="0.35">
      <c r="B3" s="311" t="s">
        <v>38</v>
      </c>
      <c r="C3" s="311"/>
      <c r="D3" s="311"/>
      <c r="E3" s="311"/>
      <c r="F3" s="311"/>
      <c r="G3" s="311"/>
    </row>
    <row r="4" spans="2:26" ht="15.75" customHeight="1" x14ac:dyDescent="0.2">
      <c r="B4" s="4"/>
    </row>
    <row r="5" spans="2:26" ht="15.75" customHeight="1" x14ac:dyDescent="0.25">
      <c r="D5" s="12"/>
      <c r="E5" s="12"/>
      <c r="F5" s="12"/>
    </row>
    <row r="6" spans="2:26" ht="37.5" customHeight="1" x14ac:dyDescent="0.2">
      <c r="B6" s="5"/>
      <c r="C6" s="5"/>
      <c r="D6" s="36" t="s">
        <v>0</v>
      </c>
      <c r="E6" s="36" t="s">
        <v>1</v>
      </c>
      <c r="F6" s="36" t="s">
        <v>37</v>
      </c>
      <c r="G6" s="6"/>
      <c r="H6" s="6"/>
      <c r="I6" s="6"/>
      <c r="J6" s="5"/>
      <c r="K6" s="5"/>
      <c r="L6" s="5"/>
    </row>
    <row r="7" spans="2:26" ht="15.75" customHeight="1" x14ac:dyDescent="0.2">
      <c r="B7" s="5"/>
      <c r="C7" s="7"/>
      <c r="D7" s="307" t="s">
        <v>2</v>
      </c>
      <c r="E7" s="308"/>
      <c r="F7" s="309"/>
      <c r="G7" s="307" t="s">
        <v>3</v>
      </c>
      <c r="H7" s="308"/>
      <c r="I7" s="309"/>
      <c r="J7" s="5"/>
      <c r="K7" s="5"/>
      <c r="L7" s="5"/>
    </row>
    <row r="8" spans="2:26" s="6" customFormat="1" ht="15.75" customHeight="1" x14ac:dyDescent="0.25">
      <c r="B8" s="33" t="s">
        <v>4</v>
      </c>
      <c r="C8" s="34" t="s">
        <v>5</v>
      </c>
      <c r="D8" s="34" t="s">
        <v>6</v>
      </c>
      <c r="E8" s="34" t="s">
        <v>7</v>
      </c>
      <c r="F8" s="34" t="s">
        <v>8</v>
      </c>
      <c r="G8" s="34" t="s">
        <v>9</v>
      </c>
      <c r="H8" s="34" t="s">
        <v>10</v>
      </c>
      <c r="I8" s="35" t="s">
        <v>11</v>
      </c>
      <c r="U8" s="43"/>
      <c r="Z8" s="43"/>
    </row>
    <row r="9" spans="2:26" ht="15.75" customHeight="1" x14ac:dyDescent="0.25">
      <c r="B9" s="18" t="s">
        <v>12</v>
      </c>
      <c r="C9" s="19">
        <v>55</v>
      </c>
      <c r="D9" s="5">
        <v>13</v>
      </c>
      <c r="E9" s="5">
        <f>180/2</f>
        <v>90</v>
      </c>
      <c r="F9" s="19">
        <v>13</v>
      </c>
      <c r="G9" s="21">
        <f t="shared" ref="G9:G18" si="0">D9*C9</f>
        <v>715</v>
      </c>
      <c r="H9" s="21">
        <f t="shared" ref="H9:H17" si="1">E9*C9</f>
        <v>4950</v>
      </c>
      <c r="I9" s="22">
        <f t="shared" ref="I9:I18" si="2">F9*C9</f>
        <v>715</v>
      </c>
      <c r="J9" s="3" t="s">
        <v>30</v>
      </c>
      <c r="L9" s="5"/>
    </row>
    <row r="10" spans="2:26" ht="15.75" customHeight="1" x14ac:dyDescent="0.2">
      <c r="B10" s="28" t="s">
        <v>13</v>
      </c>
      <c r="C10" s="29">
        <v>30.3</v>
      </c>
      <c r="D10" s="5">
        <v>13</v>
      </c>
      <c r="E10" s="5">
        <v>90</v>
      </c>
      <c r="F10" s="11">
        <v>13</v>
      </c>
      <c r="G10" s="29">
        <f t="shared" si="0"/>
        <v>393.90000000000003</v>
      </c>
      <c r="H10" s="29">
        <f t="shared" si="1"/>
        <v>2727</v>
      </c>
      <c r="I10" s="31">
        <f t="shared" si="2"/>
        <v>393.90000000000003</v>
      </c>
      <c r="J10" s="5"/>
      <c r="L10" s="5"/>
    </row>
    <row r="11" spans="2:26" ht="15.75" customHeight="1" x14ac:dyDescent="0.25">
      <c r="B11" s="28" t="s">
        <v>14</v>
      </c>
      <c r="C11" s="29">
        <v>5</v>
      </c>
      <c r="D11" s="5">
        <v>13</v>
      </c>
      <c r="E11" s="5">
        <f>180+10/2</f>
        <v>185</v>
      </c>
      <c r="F11" s="11">
        <v>13</v>
      </c>
      <c r="G11" s="29">
        <f t="shared" si="0"/>
        <v>65</v>
      </c>
      <c r="H11" s="29">
        <f t="shared" si="1"/>
        <v>925</v>
      </c>
      <c r="I11" s="31">
        <f t="shared" si="2"/>
        <v>65</v>
      </c>
      <c r="J11" s="3" t="s">
        <v>34</v>
      </c>
      <c r="L11" s="5"/>
    </row>
    <row r="12" spans="2:26" ht="15.75" customHeight="1" x14ac:dyDescent="0.25">
      <c r="B12" s="28" t="s">
        <v>15</v>
      </c>
      <c r="C12" s="11">
        <v>173</v>
      </c>
      <c r="D12" s="5">
        <v>13</v>
      </c>
      <c r="E12" s="5">
        <v>34</v>
      </c>
      <c r="F12" s="11">
        <v>16</v>
      </c>
      <c r="G12" s="29">
        <f t="shared" si="0"/>
        <v>2249</v>
      </c>
      <c r="H12" s="29">
        <f t="shared" si="1"/>
        <v>5882</v>
      </c>
      <c r="I12" s="31">
        <f t="shared" si="2"/>
        <v>2768</v>
      </c>
      <c r="J12" s="3" t="s">
        <v>31</v>
      </c>
      <c r="L12" s="5"/>
    </row>
    <row r="13" spans="2:26" ht="15.75" customHeight="1" x14ac:dyDescent="0.25">
      <c r="B13" s="28" t="s">
        <v>16</v>
      </c>
      <c r="C13" s="11">
        <v>15</v>
      </c>
      <c r="D13" s="5">
        <v>13</v>
      </c>
      <c r="E13" s="5">
        <v>24</v>
      </c>
      <c r="F13" s="11">
        <v>34</v>
      </c>
      <c r="G13" s="29">
        <f t="shared" si="0"/>
        <v>195</v>
      </c>
      <c r="H13" s="29">
        <f t="shared" si="1"/>
        <v>360</v>
      </c>
      <c r="I13" s="31">
        <f t="shared" si="2"/>
        <v>510</v>
      </c>
      <c r="J13" s="5"/>
      <c r="K13" s="3"/>
      <c r="L13" s="5"/>
    </row>
    <row r="14" spans="2:26" ht="15.75" customHeight="1" x14ac:dyDescent="0.2">
      <c r="B14" s="28" t="s">
        <v>17</v>
      </c>
      <c r="C14" s="11">
        <v>60</v>
      </c>
      <c r="D14" s="5">
        <v>13</v>
      </c>
      <c r="E14" s="5">
        <f>180-20</f>
        <v>160</v>
      </c>
      <c r="F14" s="11">
        <v>6</v>
      </c>
      <c r="G14" s="29">
        <f t="shared" si="0"/>
        <v>780</v>
      </c>
      <c r="H14" s="29">
        <f t="shared" si="1"/>
        <v>9600</v>
      </c>
      <c r="I14" s="31">
        <f t="shared" si="2"/>
        <v>360</v>
      </c>
      <c r="J14" s="5"/>
      <c r="K14" s="5"/>
      <c r="L14" s="5"/>
    </row>
    <row r="15" spans="2:26" ht="15.75" customHeight="1" x14ac:dyDescent="0.2">
      <c r="B15" s="28" t="s">
        <v>18</v>
      </c>
      <c r="C15" s="11">
        <v>10</v>
      </c>
      <c r="D15" s="5">
        <v>13</v>
      </c>
      <c r="E15" s="5">
        <f>180-30</f>
        <v>150</v>
      </c>
      <c r="F15" s="11">
        <v>6</v>
      </c>
      <c r="G15" s="29">
        <f t="shared" si="0"/>
        <v>130</v>
      </c>
      <c r="H15" s="29">
        <f t="shared" si="1"/>
        <v>1500</v>
      </c>
      <c r="I15" s="31">
        <f t="shared" si="2"/>
        <v>60</v>
      </c>
      <c r="J15" s="5"/>
      <c r="K15" s="5"/>
      <c r="L15" s="5"/>
    </row>
    <row r="16" spans="2:26" ht="15.75" customHeight="1" x14ac:dyDescent="0.25">
      <c r="B16" s="23" t="s">
        <v>19</v>
      </c>
      <c r="C16" s="25">
        <v>62</v>
      </c>
      <c r="D16" s="5">
        <v>13</v>
      </c>
      <c r="E16" s="5">
        <f>180-60</f>
        <v>120</v>
      </c>
      <c r="F16" s="25">
        <v>26</v>
      </c>
      <c r="G16" s="24">
        <f t="shared" si="0"/>
        <v>806</v>
      </c>
      <c r="H16" s="24">
        <f t="shared" si="1"/>
        <v>7440</v>
      </c>
      <c r="I16" s="27">
        <f t="shared" si="2"/>
        <v>1612</v>
      </c>
      <c r="J16" s="5"/>
      <c r="K16" s="3"/>
      <c r="L16" s="5"/>
    </row>
    <row r="17" spans="2:26" ht="15.75" customHeight="1" x14ac:dyDescent="0.2">
      <c r="B17" s="18" t="s">
        <v>32</v>
      </c>
      <c r="C17" s="19">
        <v>50</v>
      </c>
      <c r="D17" s="19">
        <v>13</v>
      </c>
      <c r="E17" s="20">
        <v>8</v>
      </c>
      <c r="F17" s="19">
        <v>10</v>
      </c>
      <c r="G17" s="21">
        <f t="shared" si="0"/>
        <v>650</v>
      </c>
      <c r="H17" s="21">
        <f t="shared" si="1"/>
        <v>400</v>
      </c>
      <c r="I17" s="22">
        <f t="shared" si="2"/>
        <v>500</v>
      </c>
      <c r="J17" s="5"/>
      <c r="K17" s="5"/>
      <c r="L17" s="5"/>
    </row>
    <row r="18" spans="2:26" ht="15.75" customHeight="1" x14ac:dyDescent="0.2">
      <c r="B18" s="23" t="s">
        <v>33</v>
      </c>
      <c r="C18" s="24">
        <v>50</v>
      </c>
      <c r="D18" s="25">
        <v>13</v>
      </c>
      <c r="E18" s="26">
        <v>165</v>
      </c>
      <c r="F18" s="25">
        <v>13</v>
      </c>
      <c r="G18" s="24">
        <f t="shared" si="0"/>
        <v>650</v>
      </c>
      <c r="H18" s="24">
        <f>E18*C18</f>
        <v>8250</v>
      </c>
      <c r="I18" s="27">
        <f t="shared" si="2"/>
        <v>650</v>
      </c>
      <c r="J18" s="8"/>
      <c r="K18" s="5"/>
      <c r="L18" s="5"/>
    </row>
    <row r="19" spans="2:26" ht="15.75" customHeight="1" x14ac:dyDescent="0.2">
      <c r="B19" s="5"/>
      <c r="C19" s="5"/>
      <c r="D19" s="5"/>
      <c r="E19" s="5"/>
      <c r="F19" s="5"/>
      <c r="G19" s="8"/>
      <c r="H19" s="5"/>
      <c r="I19" s="5"/>
      <c r="J19" s="5"/>
      <c r="K19" s="5"/>
      <c r="L19" s="5"/>
    </row>
    <row r="20" spans="2:26" ht="34.5" customHeight="1" x14ac:dyDescent="0.25">
      <c r="B20" s="32" t="s">
        <v>35</v>
      </c>
      <c r="C20" s="5"/>
      <c r="D20" s="5"/>
      <c r="E20" s="5"/>
      <c r="F20" s="9" t="s">
        <v>20</v>
      </c>
      <c r="G20" s="5">
        <f>SUM(G9:G16)</f>
        <v>5333.9</v>
      </c>
      <c r="H20" s="5"/>
      <c r="I20" s="5"/>
      <c r="J20" s="5"/>
      <c r="K20" s="5"/>
      <c r="L20" s="5"/>
    </row>
    <row r="21" spans="2:26" ht="15.75" customHeight="1" x14ac:dyDescent="0.25">
      <c r="B21" s="9" t="s">
        <v>21</v>
      </c>
      <c r="C21" s="5">
        <f>SUM(C9:C16)</f>
        <v>410.3</v>
      </c>
      <c r="D21" s="5"/>
      <c r="E21" s="5"/>
      <c r="F21" s="9" t="s">
        <v>22</v>
      </c>
      <c r="G21" s="5"/>
      <c r="H21" s="5">
        <f>SUM(H9:H16)</f>
        <v>33384</v>
      </c>
      <c r="I21" s="5"/>
      <c r="J21" s="5"/>
      <c r="K21" s="5"/>
      <c r="L21" s="5"/>
    </row>
    <row r="22" spans="2:26" ht="15.75" customHeight="1" x14ac:dyDescent="0.25">
      <c r="B22" s="5"/>
      <c r="C22" s="5"/>
      <c r="D22" s="5"/>
      <c r="E22" s="5"/>
      <c r="F22" s="9" t="s">
        <v>23</v>
      </c>
      <c r="G22" s="5"/>
      <c r="H22" s="5"/>
      <c r="I22" s="5">
        <f>SUM(I9:I16)</f>
        <v>6483.9</v>
      </c>
      <c r="J22" s="5"/>
      <c r="K22" s="5"/>
      <c r="L22" s="5"/>
    </row>
    <row r="23" spans="2:26" ht="15.75" customHeight="1" x14ac:dyDescent="0.2">
      <c r="B23" s="321" t="s">
        <v>24</v>
      </c>
      <c r="C23" s="321"/>
      <c r="D23" s="321"/>
      <c r="J23" s="5"/>
      <c r="K23" s="5"/>
      <c r="L23" s="5"/>
    </row>
    <row r="24" spans="2:26" ht="15.75" customHeight="1" x14ac:dyDescent="0.2">
      <c r="B24" s="13" t="s">
        <v>25</v>
      </c>
      <c r="C24" s="13" t="s">
        <v>26</v>
      </c>
      <c r="D24" s="13" t="s">
        <v>27</v>
      </c>
      <c r="J24" s="5"/>
      <c r="K24" s="5"/>
      <c r="L24" s="5"/>
    </row>
    <row r="25" spans="2:26" ht="15.75" customHeight="1" x14ac:dyDescent="0.2">
      <c r="B25" s="5">
        <f>G20/C21</f>
        <v>12.999999999999998</v>
      </c>
      <c r="C25" s="14">
        <f>H21/C21</f>
        <v>81.36485498415793</v>
      </c>
      <c r="D25" s="14">
        <f>I22/C21</f>
        <v>15.802827199610039</v>
      </c>
    </row>
    <row r="27" spans="2:26" s="15" customFormat="1" ht="15.75" customHeight="1" x14ac:dyDescent="0.2">
      <c r="B27" s="16"/>
      <c r="C27" s="17"/>
      <c r="D27" s="17"/>
      <c r="E27" s="17"/>
      <c r="F27" s="17"/>
      <c r="G27" s="17"/>
      <c r="H27" s="17"/>
      <c r="I27" s="17"/>
      <c r="J27" s="17"/>
      <c r="K27" s="17"/>
      <c r="L27" s="17"/>
      <c r="U27" s="43"/>
      <c r="Z27" s="43"/>
    </row>
    <row r="28" spans="2:26" ht="15.75" customHeight="1" x14ac:dyDescent="0.25">
      <c r="B28" s="10"/>
      <c r="C28" s="5"/>
      <c r="D28" s="5"/>
      <c r="E28" s="5"/>
      <c r="F28" s="5"/>
      <c r="G28" s="5"/>
      <c r="H28" s="5"/>
      <c r="I28" s="5"/>
      <c r="J28" s="5"/>
      <c r="K28" s="5"/>
      <c r="L28" s="5"/>
    </row>
    <row r="29" spans="2:26" ht="29.25" customHeight="1" x14ac:dyDescent="0.25">
      <c r="B29" s="32" t="s">
        <v>36</v>
      </c>
      <c r="D29" s="5"/>
      <c r="E29" s="5"/>
      <c r="F29" s="9" t="s">
        <v>20</v>
      </c>
      <c r="G29" s="5">
        <f>SUM(G9:G18)</f>
        <v>6633.9</v>
      </c>
      <c r="H29" s="5"/>
      <c r="I29" s="5"/>
      <c r="J29" s="5"/>
      <c r="K29" s="5"/>
      <c r="L29" s="5"/>
    </row>
    <row r="30" spans="2:26" ht="15.75" customHeight="1" x14ac:dyDescent="0.25">
      <c r="B30" s="9" t="s">
        <v>21</v>
      </c>
      <c r="C30" s="5">
        <f>C21+C17+C18</f>
        <v>510.3</v>
      </c>
      <c r="F30" s="9" t="s">
        <v>22</v>
      </c>
      <c r="G30" s="5"/>
      <c r="H30" s="5">
        <f>SUM(H9:H18)</f>
        <v>42034</v>
      </c>
      <c r="I30" s="5"/>
    </row>
    <row r="31" spans="2:26" ht="15.75" customHeight="1" x14ac:dyDescent="0.25">
      <c r="F31" s="9" t="s">
        <v>23</v>
      </c>
      <c r="G31" s="5"/>
      <c r="H31" s="5"/>
      <c r="I31" s="5">
        <f>SUM(I9:I18)</f>
        <v>7633.9</v>
      </c>
    </row>
    <row r="32" spans="2:26" ht="15.75" customHeight="1" x14ac:dyDescent="0.2">
      <c r="B32" s="321" t="s">
        <v>24</v>
      </c>
      <c r="C32" s="321"/>
      <c r="D32" s="321"/>
      <c r="E32" s="5"/>
      <c r="F32" s="5"/>
      <c r="G32" s="8"/>
      <c r="H32" s="8"/>
      <c r="I32" s="8"/>
      <c r="J32" s="5"/>
      <c r="K32" s="5"/>
    </row>
    <row r="33" spans="1:34" ht="15.75" customHeight="1" x14ac:dyDescent="0.25">
      <c r="A33" s="3"/>
      <c r="B33" s="13" t="s">
        <v>25</v>
      </c>
      <c r="C33" s="13" t="s">
        <v>26</v>
      </c>
      <c r="D33" s="13" t="s">
        <v>27</v>
      </c>
      <c r="E33" s="5"/>
      <c r="F33" s="5"/>
      <c r="G33" s="5"/>
      <c r="H33" s="5"/>
      <c r="I33" s="5"/>
      <c r="J33" s="5"/>
      <c r="K33" s="5"/>
    </row>
    <row r="34" spans="1:34" ht="15.75" customHeight="1" thickBot="1" x14ac:dyDescent="0.3">
      <c r="A34" s="3"/>
      <c r="B34" s="5">
        <f>G29/C30</f>
        <v>12.999999999999998</v>
      </c>
      <c r="C34" s="14">
        <f>H30/C30</f>
        <v>82.371154223006073</v>
      </c>
      <c r="D34" s="14">
        <f>I31/C30</f>
        <v>14.959631589261217</v>
      </c>
      <c r="E34" s="5"/>
      <c r="F34" s="5"/>
      <c r="G34" s="5"/>
      <c r="H34" s="5"/>
      <c r="I34" s="5"/>
      <c r="J34" s="6"/>
      <c r="K34" s="6"/>
    </row>
    <row r="35" spans="1:34" ht="21" customHeight="1" thickBot="1" x14ac:dyDescent="0.3">
      <c r="A35" s="3"/>
      <c r="B35" s="5"/>
      <c r="C35" s="5"/>
      <c r="D35" s="5"/>
      <c r="E35" s="322" t="s">
        <v>40</v>
      </c>
      <c r="F35" s="322"/>
      <c r="G35" s="322"/>
      <c r="H35" s="322"/>
      <c r="I35" s="322"/>
      <c r="J35" s="322"/>
      <c r="K35" s="322"/>
    </row>
    <row r="36" spans="1:34" ht="84.75" customHeight="1" thickBot="1" x14ac:dyDescent="0.3">
      <c r="A36" s="3"/>
      <c r="B36" s="5"/>
      <c r="C36" s="5"/>
      <c r="D36" s="5"/>
      <c r="E36" s="64" t="s">
        <v>59</v>
      </c>
      <c r="F36" s="64" t="s">
        <v>58</v>
      </c>
      <c r="G36" s="64" t="s">
        <v>57</v>
      </c>
      <c r="H36" s="64" t="s">
        <v>56</v>
      </c>
      <c r="I36" s="64" t="s">
        <v>55</v>
      </c>
      <c r="J36" s="64" t="s">
        <v>70</v>
      </c>
      <c r="K36" s="64" t="s">
        <v>61</v>
      </c>
    </row>
    <row r="37" spans="1:34" ht="15.75" customHeight="1" thickBot="1" x14ac:dyDescent="0.3">
      <c r="A37" s="3"/>
      <c r="B37" s="9"/>
      <c r="C37" s="5"/>
      <c r="D37" s="5"/>
      <c r="E37" s="65">
        <f>180+10</f>
        <v>190</v>
      </c>
      <c r="F37" s="66">
        <f>E37-C25</f>
        <v>108.63514501584207</v>
      </c>
      <c r="G37" s="67">
        <v>25</v>
      </c>
      <c r="H37" s="67">
        <f>28*2</f>
        <v>56</v>
      </c>
      <c r="I37" s="67">
        <f>5.5*39.37</f>
        <v>216.535</v>
      </c>
      <c r="J37" s="68">
        <f>PI()*2*6*39.37/8*0.056818</f>
        <v>10.541259117734768</v>
      </c>
      <c r="K37" s="69">
        <v>3.0000000000000001E-3</v>
      </c>
    </row>
    <row r="38" spans="1:34" ht="91.5" customHeight="1" thickBot="1" x14ac:dyDescent="0.25">
      <c r="B38" s="5"/>
      <c r="C38" s="5"/>
      <c r="D38" s="5"/>
      <c r="E38" s="37"/>
      <c r="F38" s="37"/>
      <c r="G38" s="37"/>
      <c r="H38" s="37" t="s">
        <v>47</v>
      </c>
      <c r="I38" s="37" t="s">
        <v>101</v>
      </c>
      <c r="J38" s="37" t="s">
        <v>102</v>
      </c>
      <c r="K38" s="37" t="s">
        <v>103</v>
      </c>
      <c r="V38" s="298" t="s">
        <v>79</v>
      </c>
      <c r="W38" s="298"/>
      <c r="X38" s="298"/>
      <c r="Y38" s="298"/>
      <c r="AA38" s="300" t="s">
        <v>80</v>
      </c>
      <c r="AB38" s="300"/>
      <c r="AC38" s="300"/>
      <c r="AD38" s="300"/>
      <c r="AE38" s="300"/>
      <c r="AF38" s="300"/>
      <c r="AG38" s="300"/>
      <c r="AH38" s="300"/>
    </row>
    <row r="39" spans="1:34" ht="22.5" customHeight="1" thickBot="1" x14ac:dyDescent="0.4">
      <c r="B39" s="5"/>
      <c r="C39" s="5"/>
      <c r="D39" s="5"/>
      <c r="E39" s="301" t="s">
        <v>88</v>
      </c>
      <c r="F39" s="302"/>
      <c r="G39" s="302"/>
      <c r="H39" s="302"/>
      <c r="I39" s="302"/>
      <c r="J39" s="302"/>
      <c r="K39" s="303"/>
      <c r="L39" s="301" t="s">
        <v>88</v>
      </c>
      <c r="M39" s="302"/>
      <c r="N39" s="302"/>
      <c r="O39" s="302"/>
      <c r="P39" s="302"/>
      <c r="Q39" s="302"/>
      <c r="R39" s="302"/>
      <c r="S39" s="302"/>
      <c r="T39" s="303"/>
      <c r="V39" s="301" t="s">
        <v>88</v>
      </c>
      <c r="W39" s="302"/>
      <c r="X39" s="302"/>
      <c r="Y39" s="303"/>
      <c r="AA39" s="301" t="s">
        <v>88</v>
      </c>
      <c r="AB39" s="302"/>
      <c r="AC39" s="302"/>
      <c r="AD39" s="302"/>
      <c r="AE39" s="302"/>
      <c r="AF39" s="302"/>
      <c r="AG39" s="302"/>
      <c r="AH39" s="303"/>
    </row>
    <row r="40" spans="1:34" ht="115.5" customHeight="1" thickBot="1" x14ac:dyDescent="0.25">
      <c r="B40" s="321"/>
      <c r="C40" s="321"/>
      <c r="D40" s="321"/>
      <c r="E40" s="49" t="s">
        <v>66</v>
      </c>
      <c r="F40" s="49" t="s">
        <v>29</v>
      </c>
      <c r="G40" s="49" t="s">
        <v>28</v>
      </c>
      <c r="H40" s="49" t="s">
        <v>45</v>
      </c>
      <c r="I40" s="49" t="s">
        <v>39</v>
      </c>
      <c r="J40" s="49" t="s">
        <v>50</v>
      </c>
      <c r="K40" s="49" t="s">
        <v>49</v>
      </c>
      <c r="L40" s="49" t="s">
        <v>86</v>
      </c>
      <c r="M40" s="49" t="s">
        <v>60</v>
      </c>
      <c r="N40" s="49" t="s">
        <v>62</v>
      </c>
      <c r="O40" s="49" t="s">
        <v>63</v>
      </c>
      <c r="P40" s="49" t="s">
        <v>54</v>
      </c>
      <c r="Q40" s="49" t="s">
        <v>64</v>
      </c>
      <c r="R40" s="49" t="s">
        <v>65</v>
      </c>
      <c r="S40" s="49" t="s">
        <v>69</v>
      </c>
      <c r="T40" s="49" t="s">
        <v>96</v>
      </c>
      <c r="V40" s="49" t="s">
        <v>73</v>
      </c>
      <c r="W40" s="49" t="s">
        <v>74</v>
      </c>
      <c r="X40" s="49" t="s">
        <v>76</v>
      </c>
      <c r="Y40" s="49" t="s">
        <v>87</v>
      </c>
      <c r="AA40" s="49" t="s">
        <v>91</v>
      </c>
      <c r="AB40" s="49" t="s">
        <v>92</v>
      </c>
      <c r="AC40" s="49" t="s">
        <v>89</v>
      </c>
      <c r="AD40" s="49" t="s">
        <v>90</v>
      </c>
      <c r="AE40" s="49" t="s">
        <v>82</v>
      </c>
      <c r="AF40" s="49" t="s">
        <v>83</v>
      </c>
      <c r="AG40" s="49" t="s">
        <v>85</v>
      </c>
      <c r="AH40" s="49" t="s">
        <v>94</v>
      </c>
    </row>
    <row r="41" spans="1:34" ht="15.75" customHeight="1" thickBot="1" x14ac:dyDescent="0.25">
      <c r="B41" s="13"/>
      <c r="C41" s="13"/>
      <c r="D41" s="13"/>
      <c r="E41" s="53">
        <f>57.3*H41/I37+(Q41-R41)</f>
        <v>44.676886108336106</v>
      </c>
      <c r="F41" s="51">
        <f>(100-G41)/2</f>
        <v>24.656016661866037</v>
      </c>
      <c r="G41" s="63">
        <f>(C30/(1+(C25/(E37-G37-C25))))/C30*100</f>
        <v>50.687966676267926</v>
      </c>
      <c r="H41" s="50">
        <f>E37-G37</f>
        <v>165</v>
      </c>
      <c r="I41" s="52">
        <f>E37*0.0254</f>
        <v>4.8259999999999996</v>
      </c>
      <c r="J41" s="50">
        <f>H41*2/3</f>
        <v>110</v>
      </c>
      <c r="K41" s="60">
        <f>C25-J41</f>
        <v>-28.63514501584207</v>
      </c>
      <c r="L41" s="56">
        <f>((J37/0.056818)/12)^2/(32.2*I37/12)</f>
        <v>0.41138444939746738</v>
      </c>
      <c r="M41" s="56">
        <f>C30*((J37/0.056818)/12)^2/(32.2*I37/12)</f>
        <v>209.92948452752759</v>
      </c>
      <c r="N41" s="56">
        <f>(F41/100)*C30*0.145</f>
        <v>18.243849688697846</v>
      </c>
      <c r="O41" s="56">
        <f>(G41/100)*C30*0.17</f>
        <v>43.97231797132919</v>
      </c>
      <c r="P41" s="61">
        <f>((2*F41/100)*C30/(2*N41))-((G41/100)*C30/(O41))</f>
        <v>1.0141987829614614</v>
      </c>
      <c r="Q41" s="57">
        <f>(F41/100)*C30/N41</f>
        <v>6.8965517241379315</v>
      </c>
      <c r="R41" s="57">
        <f>(G41/100)*C30/O41</f>
        <v>5.8823529411764701</v>
      </c>
      <c r="S41" s="53">
        <f>(SQRT(H41*32.2*12/P41))*0.056818</f>
        <v>14.245737282310923</v>
      </c>
      <c r="T41" s="62">
        <f>S41/J37</f>
        <v>1.3514265348381094</v>
      </c>
      <c r="V41" s="56">
        <f>M41/(F41/100*C30)</f>
        <v>1.6684951792465759</v>
      </c>
      <c r="W41" s="56">
        <f>M41/(G41/100*C30)</f>
        <v>0.81160179895335449</v>
      </c>
      <c r="X41" s="57">
        <f>H37*(H41-((E37-G37)-C34))/(2*H41*D34)</f>
        <v>0.93439034101081031</v>
      </c>
      <c r="Y41" s="61">
        <f>X41/L41</f>
        <v>2.2713312143406528</v>
      </c>
      <c r="AA41" s="57">
        <f>0.5*D34/((E37-G37)-C34)</f>
        <v>9.0523057950219962E-2</v>
      </c>
      <c r="AB41" s="57">
        <f>D34/((E37-G37)-C34)</f>
        <v>0.18104611590043992</v>
      </c>
      <c r="AC41" s="56">
        <f>-AG41*AA41</f>
        <v>23.414756987789005</v>
      </c>
      <c r="AD41" s="56">
        <f>-AG41*AB41</f>
        <v>46.82951397557801</v>
      </c>
      <c r="AE41" s="56">
        <f>(0.5*C30*D34-(H41/100)*(AA44-AC41)-((E37-G37)-C34)*C30)/H41</f>
        <v>-232.18130697557666</v>
      </c>
      <c r="AF41" s="56">
        <f>(0.5*C30*D34-(H41/100)*(AB44-AD41)-((E37-G37)-C34)*C30)/H41</f>
        <v>-231.94715940569876</v>
      </c>
      <c r="AG41" s="56">
        <f>-G41*C30/100</f>
        <v>-258.66069394899523</v>
      </c>
      <c r="AH41" s="60">
        <f>ABS(AG41/AD41)</f>
        <v>5.5234545907072405</v>
      </c>
    </row>
    <row r="42" spans="1:34" ht="166.5" customHeight="1" x14ac:dyDescent="0.2">
      <c r="B42" s="5"/>
      <c r="C42" s="14"/>
      <c r="D42" s="14"/>
      <c r="E42" s="37" t="s">
        <v>97</v>
      </c>
      <c r="F42" s="37"/>
      <c r="G42" s="40" t="s">
        <v>100</v>
      </c>
      <c r="H42" s="37" t="s">
        <v>48</v>
      </c>
      <c r="I42" s="37"/>
      <c r="J42" s="37" t="s">
        <v>46</v>
      </c>
      <c r="K42" s="40" t="s">
        <v>68</v>
      </c>
      <c r="L42" s="37"/>
      <c r="M42" s="38"/>
      <c r="N42" s="38"/>
      <c r="P42" s="40" t="s">
        <v>67</v>
      </c>
      <c r="S42" s="37" t="s">
        <v>95</v>
      </c>
      <c r="T42" s="37"/>
      <c r="V42" s="297" t="s">
        <v>78</v>
      </c>
      <c r="W42" s="297"/>
      <c r="X42" s="47" t="s">
        <v>77</v>
      </c>
      <c r="Y42" s="37"/>
      <c r="AA42" s="37" t="s">
        <v>75</v>
      </c>
      <c r="AB42" s="37" t="s">
        <v>75</v>
      </c>
      <c r="AC42" s="37"/>
      <c r="AD42" s="37"/>
      <c r="AE42" s="296" t="s">
        <v>84</v>
      </c>
      <c r="AF42" s="296"/>
      <c r="AG42" s="37"/>
    </row>
    <row r="43" spans="1:34" ht="15.75" customHeight="1" x14ac:dyDescent="0.2">
      <c r="J43" s="5"/>
      <c r="K43" s="5"/>
      <c r="AE43" s="319" t="s">
        <v>93</v>
      </c>
      <c r="AF43" s="319"/>
      <c r="AG43" s="319"/>
    </row>
    <row r="44" spans="1:34" ht="15.75" customHeight="1" x14ac:dyDescent="0.2">
      <c r="J44" s="5"/>
      <c r="K44" s="5"/>
      <c r="V44" s="320" t="s">
        <v>81</v>
      </c>
      <c r="W44" s="320"/>
      <c r="X44" s="320"/>
      <c r="Y44" s="46"/>
      <c r="AA44" s="41"/>
      <c r="AB44" s="41"/>
      <c r="AC44" s="41"/>
      <c r="AD44" s="41"/>
      <c r="AE44" s="319"/>
      <c r="AF44" s="319"/>
      <c r="AG44" s="319"/>
    </row>
    <row r="45" spans="1:34" ht="15.75" customHeight="1" x14ac:dyDescent="0.2">
      <c r="J45" s="5"/>
      <c r="K45" s="5"/>
      <c r="V45" s="320"/>
      <c r="W45" s="320"/>
      <c r="X45" s="320"/>
      <c r="Y45" s="46"/>
      <c r="AA45" s="41"/>
      <c r="AB45" s="41"/>
      <c r="AC45" s="41"/>
      <c r="AD45" s="41"/>
      <c r="AE45" s="319"/>
      <c r="AF45" s="319"/>
      <c r="AG45" s="319"/>
    </row>
    <row r="46" spans="1:34" ht="15.75" customHeight="1" x14ac:dyDescent="0.2">
      <c r="J46" s="5"/>
      <c r="K46" s="5"/>
      <c r="V46" s="320"/>
      <c r="W46" s="320"/>
      <c r="X46" s="320"/>
      <c r="Y46" s="46"/>
      <c r="AC46" s="41"/>
      <c r="AD46" s="41"/>
      <c r="AE46" s="319"/>
      <c r="AF46" s="319"/>
      <c r="AG46" s="319"/>
    </row>
    <row r="47" spans="1:34" ht="15.75" customHeight="1" x14ac:dyDescent="0.2">
      <c r="J47" s="5"/>
      <c r="K47" s="5"/>
      <c r="V47" s="320"/>
      <c r="W47" s="320"/>
      <c r="X47" s="320"/>
      <c r="Y47" s="46"/>
      <c r="AE47" s="319"/>
      <c r="AF47" s="319"/>
      <c r="AG47" s="319"/>
    </row>
    <row r="48" spans="1:34" ht="15.75" customHeight="1" x14ac:dyDescent="0.2">
      <c r="V48" s="320"/>
      <c r="W48" s="320"/>
      <c r="X48" s="320"/>
      <c r="Y48" s="46"/>
      <c r="AE48" s="319"/>
      <c r="AF48" s="319"/>
      <c r="AG48" s="319"/>
    </row>
  </sheetData>
  <sheetProtection selectLockedCells="1" selectUnlockedCells="1"/>
  <mergeCells count="17">
    <mergeCell ref="B32:D32"/>
    <mergeCell ref="B40:D40"/>
    <mergeCell ref="B3:G3"/>
    <mergeCell ref="D7:F7"/>
    <mergeCell ref="G7:I7"/>
    <mergeCell ref="B23:D23"/>
    <mergeCell ref="E35:K35"/>
    <mergeCell ref="V38:Y38"/>
    <mergeCell ref="AA38:AH38"/>
    <mergeCell ref="E39:K39"/>
    <mergeCell ref="V42:W42"/>
    <mergeCell ref="AE42:AF42"/>
    <mergeCell ref="AE43:AG48"/>
    <mergeCell ref="V44:X48"/>
    <mergeCell ref="V39:Y39"/>
    <mergeCell ref="L39:T39"/>
    <mergeCell ref="AA39:AH39"/>
  </mergeCells>
  <pageMargins left="0.75" right="0.75" top="1" bottom="1" header="0.51180555555555551" footer="0.51180555555555551"/>
  <pageSetup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E40" sqref="E40:L40"/>
    </sheetView>
  </sheetViews>
  <sheetFormatPr defaultRowHeight="12.75" x14ac:dyDescent="0.2"/>
  <sheetData/>
  <sheetProtection selectLockedCells="1" selectUnlockedCells="1"/>
  <pageMargins left="0.75" right="0.75" top="1" bottom="1" header="0.51180555555555551" footer="0.51180555555555551"/>
  <pageSetup firstPageNumber="0"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K41" sqref="K41"/>
    </sheetView>
  </sheetViews>
  <sheetFormatPr defaultRowHeight="12.75" x14ac:dyDescent="0.2"/>
  <sheetData>
    <row r="1" spans="1:1" x14ac:dyDescent="0.2">
      <c r="A1" t="s">
        <v>112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H38" sqref="H38"/>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4 wheel Test</vt:lpstr>
      <vt:lpstr>3 wheel test</vt:lpstr>
      <vt:lpstr>Option 1</vt:lpstr>
      <vt:lpstr>Option2</vt:lpstr>
      <vt:lpstr>stability charts</vt:lpstr>
      <vt:lpstr>drag coefficient</vt:lpstr>
      <vt:lpstr>quick schematics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c:creator>
  <cp:lastModifiedBy>Michael</cp:lastModifiedBy>
  <dcterms:created xsi:type="dcterms:W3CDTF">2010-07-13T01:37:00Z</dcterms:created>
  <dcterms:modified xsi:type="dcterms:W3CDTF">2015-09-04T15:23:29Z</dcterms:modified>
</cp:coreProperties>
</file>