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ustomProperty3.bin" ContentType="application/vnd.openxmlformats-officedocument.spreadsheetml.customProperty"/>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C:\Users\Donald\Documents\Web Downloads\(L) Instructable - Refilling Single-Use Fuel Canisters\"/>
    </mc:Choice>
  </mc:AlternateContent>
  <xr:revisionPtr revIDLastSave="0" documentId="13_ncr:1_{09262A30-1D1C-47C4-A221-1557DE84042C}" xr6:coauthVersionLast="43" xr6:coauthVersionMax="43" xr10:uidLastSave="{00000000-0000-0000-0000-000000000000}"/>
  <bookViews>
    <workbookView xWindow="-120" yWindow="-120" windowWidth="20730" windowHeight="11160" tabRatio="500" xr2:uid="{00000000-000D-0000-FFFF-FFFF00000000}"/>
  </bookViews>
  <sheets>
    <sheet name="Trip Planning" sheetId="1" r:id="rId1"/>
    <sheet name="Calculate Canister Fuel Level" sheetId="2" r:id="rId2"/>
    <sheet name="Refilling Canisters" sheetId="3" r:id="rId3"/>
    <sheet name="Usage Profiles" sheetId="4" r:id="rId4"/>
    <sheet name="Canister Refill Specs" sheetId="5" r:id="rId5"/>
    <sheet name="PSI - Temp - Weight" sheetId="6" r:id="rId6"/>
    <sheet name="_SSC" sheetId="7" state="veryHidden" r:id="rId7"/>
  </sheets>
  <definedNames>
    <definedName name="_inputcolorcell" hidden="1">'Trip Planning'!$B$6</definedName>
    <definedName name="_xlnm.Print_Area" localSheetId="1">'Calculate Canister Fuel Level'!$B$1:$J$32</definedName>
    <definedName name="_xlnm.Print_Area" localSheetId="4">'Canister Refill Specs'!$A$1:$F$29</definedName>
    <definedName name="_xlnm.Print_Area" localSheetId="5">'PSI - Temp - Weight'!$A$1:$G$66</definedName>
    <definedName name="_xlnm.Print_Area" localSheetId="2">'Refilling Canisters'!$B$1:$I$31</definedName>
    <definedName name="_xlnm.Print_Area" localSheetId="0">'Trip Planning'!$A$1:$E$31</definedName>
    <definedName name="_xlnm.Print_Area" localSheetId="3">'Usage Profiles'!$A$1:$D$22</definedName>
  </definedNames>
  <calcPr calcId="191029"/>
  <extLst>
    <ext xmlns:xcalcf="http://schemas.microsoft.com/office/spreadsheetml/2018/calcfeatures" uri="{B58B0392-4F1F-4190-BB64-5DF3571DCE5F}">
      <xcalcf:calcFeatures>
        <xcalcf:feature name="microsoft.com:RD"/>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E28" i="3" l="1"/>
  <c r="D28" i="3"/>
  <c r="C28" i="3"/>
  <c r="E27" i="3"/>
  <c r="D27" i="3"/>
  <c r="C27" i="3"/>
  <c r="B27" i="3"/>
  <c r="B28" i="3"/>
  <c r="C3" i="3"/>
  <c r="F38" i="6" l="1"/>
  <c r="F37" i="6"/>
  <c r="F36" i="6"/>
  <c r="F35" i="6"/>
  <c r="F34" i="6"/>
  <c r="F33" i="6"/>
  <c r="F32" i="6"/>
  <c r="F31" i="6"/>
  <c r="F30" i="6"/>
  <c r="F29" i="6"/>
  <c r="E13" i="2" l="1"/>
  <c r="G29" i="3" l="1"/>
  <c r="D32" i="3"/>
  <c r="D33" i="3" s="1"/>
  <c r="C32" i="3"/>
  <c r="C33" i="3" s="1"/>
  <c r="C9" i="3"/>
  <c r="E5" i="2"/>
  <c r="E4" i="2"/>
  <c r="D5" i="2"/>
  <c r="D4" i="2"/>
  <c r="C5" i="2"/>
  <c r="C4" i="2"/>
  <c r="C15" i="3" l="1"/>
  <c r="D15" i="3"/>
  <c r="B5" i="2"/>
  <c r="B4" i="2"/>
  <c r="I24" i="3" l="1"/>
  <c r="G24" i="3"/>
  <c r="G25" i="3" s="1"/>
  <c r="F14" i="1"/>
  <c r="H29" i="2" l="1"/>
  <c r="G24" i="2" s="1"/>
  <c r="G26" i="3"/>
  <c r="G25" i="2" l="1"/>
  <c r="G26" i="2" s="1"/>
  <c r="C4" i="3" l="1"/>
  <c r="B29" i="2"/>
  <c r="B28" i="2"/>
  <c r="B27" i="2"/>
  <c r="E28" i="1"/>
  <c r="D28" i="1"/>
  <c r="E27" i="1"/>
  <c r="D27" i="1"/>
  <c r="B28" i="1"/>
  <c r="B27" i="1"/>
  <c r="E26" i="1"/>
  <c r="D26" i="1"/>
  <c r="B26" i="1"/>
  <c r="C12" i="3" l="1"/>
  <c r="D11" i="3"/>
  <c r="D10" i="3"/>
  <c r="D13" i="2"/>
  <c r="F12" i="1"/>
  <c r="F11" i="1"/>
  <c r="F10" i="1"/>
  <c r="F9" i="1"/>
  <c r="F8" i="1"/>
  <c r="F7" i="1"/>
  <c r="F6" i="1"/>
  <c r="I25" i="2" l="1"/>
  <c r="H25" i="2" s="1"/>
  <c r="I26" i="3"/>
  <c r="J24" i="3"/>
  <c r="D29" i="2"/>
  <c r="D28" i="2"/>
  <c r="D27" i="2"/>
  <c r="E29" i="2"/>
  <c r="E28" i="2"/>
  <c r="E27" i="2"/>
  <c r="E16" i="1"/>
  <c r="E21" i="1" l="1"/>
  <c r="E19" i="1"/>
  <c r="C21" i="1"/>
  <c r="C20" i="1"/>
  <c r="C19" i="1"/>
  <c r="E20" i="1"/>
  <c r="H27" i="2"/>
  <c r="C13" i="3"/>
</calcChain>
</file>

<file path=xl/sharedStrings.xml><?xml version="1.0" encoding="utf-8"?>
<sst xmlns="http://schemas.openxmlformats.org/spreadsheetml/2006/main" count="208" uniqueCount="145">
  <si>
    <t>Trip Planning</t>
  </si>
  <si>
    <t>Usage</t>
  </si>
  <si>
    <t>Number</t>
  </si>
  <si>
    <t>Per Day</t>
  </si>
  <si>
    <t>Event</t>
  </si>
  <si>
    <t>of days</t>
  </si>
  <si>
    <t xml:space="preserve">Total Fuel Needed: </t>
  </si>
  <si>
    <t>Full</t>
  </si>
  <si>
    <t>Per Boil</t>
  </si>
  <si>
    <t>Comparison Profiles</t>
  </si>
  <si>
    <t>Copyright ©2019 by Don Wallquist</t>
  </si>
  <si>
    <t xml:space="preserve">When full (new): </t>
  </si>
  <si>
    <t xml:space="preserve">Net Weight on Label: </t>
  </si>
  <si>
    <t xml:space="preserve">Current Weight: </t>
  </si>
  <si>
    <t>Days</t>
  </si>
  <si>
    <t>Boils</t>
  </si>
  <si>
    <t>Receiving</t>
  </si>
  <si>
    <t>Fuel To</t>
  </si>
  <si>
    <t>Canister</t>
  </si>
  <si>
    <t>Be Added</t>
  </si>
  <si>
    <t>Donor</t>
  </si>
  <si>
    <t>n/a</t>
  </si>
  <si>
    <t>NET</t>
  </si>
  <si>
    <t>Empty</t>
  </si>
  <si>
    <t>Cost</t>
  </si>
  <si>
    <t>Coleman (B-P)</t>
  </si>
  <si>
    <t>Jetboil Jetpower (I-P)</t>
  </si>
  <si>
    <t>MSR IsoPro (I-P)</t>
  </si>
  <si>
    <t>Snow Peak (I-P)</t>
  </si>
  <si>
    <t>BernzOmatic (P)</t>
  </si>
  <si>
    <t xml:space="preserve"> I=isobutane, B=butane, P=propane</t>
  </si>
  <si>
    <t>Ambient</t>
  </si>
  <si>
    <t>*4-Season</t>
  </si>
  <si>
    <t>Temp (F)</t>
  </si>
  <si>
    <t>Propane</t>
  </si>
  <si>
    <t>IsoButane</t>
  </si>
  <si>
    <t>Butane</t>
  </si>
  <si>
    <t xml:space="preserve">*IsoButane in above chart is 70% butane/30% propane. </t>
  </si>
  <si>
    <t>(grams)</t>
  </si>
  <si>
    <r>
      <t xml:space="preserve">is zero and </t>
    </r>
    <r>
      <rPr>
        <b/>
        <i/>
        <u/>
        <sz val="8"/>
        <color rgb="FF000000"/>
        <rFont val="Arial"/>
        <family val="2"/>
      </rPr>
      <t>actual</t>
    </r>
    <r>
      <rPr>
        <i/>
        <sz val="8"/>
        <color rgb="FF000000"/>
        <rFont val="Arial"/>
        <family val="2"/>
      </rPr>
      <t xml:space="preserve"> when non-zero.)</t>
    </r>
  </si>
  <si>
    <t>green</t>
  </si>
  <si>
    <t>bottom</t>
  </si>
  <si>
    <t>width</t>
  </si>
  <si>
    <t>Pointer</t>
  </si>
  <si>
    <t xml:space="preserve">Canister Weights   </t>
  </si>
  <si>
    <t xml:space="preserve">Red </t>
  </si>
  <si>
    <t>Yellow</t>
  </si>
  <si>
    <t>MAX Fuel:</t>
  </si>
  <si>
    <t>Gauge Thresholds (grams)</t>
  </si>
  <si>
    <t xml:space="preserve">Reserve (grams): </t>
  </si>
  <si>
    <t>Fuel Gauge</t>
  </si>
  <si>
    <t>Remaining by Profile</t>
  </si>
  <si>
    <t>Max Fuel</t>
  </si>
  <si>
    <t>swing</t>
  </si>
  <si>
    <t xml:space="preserve"> Fuel added: </t>
  </si>
  <si>
    <t xml:space="preserve">Receiving Canister: </t>
  </si>
  <si>
    <t xml:space="preserve">Donor Canister: </t>
  </si>
  <si>
    <t xml:space="preserve">Full: </t>
  </si>
  <si>
    <t>Calculate Fuel Level</t>
  </si>
  <si>
    <t>Refill Specifications</t>
  </si>
  <si>
    <t>{"IsHide":false,"HiddenInExcel":false,"SheetId":-1,"Name":"Trip_Planning","Guid":"8GRFR3","Index":1,"VisibleRange":"","SheetTheme":{"TabColor":"","BodyColor":"","BodyImage":""},"IsPrintSheet":false}</t>
  </si>
  <si>
    <t>{"BrowserAndLocation":{"ConversionPath":"C:\\Users\\Wally\\Documents\\SpreadsheetConverter","SelectedBrowsers":[]},"SpreadsheetServer":{"Username":"","Password":"","ServerUrl":"","TestUsername":"","TestPassword":""},"ConfigureSubmitDefault":{"Email":"dwallquist@comcast.net","Free":false,"Advanced":false,"AdvancedSecured":false,"Demo":true},"MessageBubble":{"Close":false,"TopMsg":0},"CustomizeTheme":{"Theme":"C:\\Users\\user\\AppData\\Roaming\\SpreadsheetConverter\\V8\\SupportFiles\\themes\\bootstrap\\css\\default-ssc-theme.css"},"QrSetting":{"ShowOnConversion":true},"CongratsPage":{"LastOpenedVersion":""},"WordPressPluginSetting":{"IsPluginInstalled":false},"Preferences":{"IsAdvancedSettingModelInitialize":true,"IsCaptchaInitialize":true,"IsNodeSettingInitialize":false,"IsRequiredFieldModalInitialize":true,"IsSubmitDialogModelInitialize":true,"IsToolbarButtonModelInitialize":true,"IsWizardButtonModelInitialize":true,"ReadFromHidden":false,"AdvancedSetting":null,"NodeSetting":{"LoginText":{"LoginButtonText":"Login","PageDescription":"Restricted access only","LoginErrorMessage":"Authentication failed, please check your username and password.","PlaceholderPassword":"password","PlaceholderUsername":"username / email","UserExtraMessage":""}},"Captcha":{"Heading":"Enter the number displayed below.","Message":"This is to verify that you are a human visitor, to prevent automated form submissions.","OkButton":"OK","CancelButton":"Cancel","ErrorMessage":"Your answer is incorrect, please try again."},"RequiredField":{"ErrorMessage":"The fields with the red border are required or invalid.","OkButton":"OK","DDLDefaultRequiredText":"Please Select"},"WizardButton":{"Next":"Next","Previous":"Previous","Cancel":"Cancel","Finish":"Finish"},"ToolbarButton":{"Submit":"Submit","PrintSheet":"Print","PrintAll":"Print All","Reset":"Reset","Update":"Update","Back":"Back","PrintThis":"Print This"},"SubmitDialog":{"SubmitDialogHeading":"Submit Successful.","SubmitDialogDesc":"The form was successfully submitted.","BeforeSubmitDesc":"The form is being submitted.","OfflineHeading":"Save until online","OfflineDesc":"You are currently offline and the submit failed. Do you want to save the submit and send it later when you are online.","OfflineConfirm":"Do you want to save?","OfflineSubmitHeading":"Offline forms submit confirmation","OfflineSubmitDesc":"There are Offline form(s), which are now ready to submit in server.","OfflineSubmitConfirm":"Do you want to submit?","FailOfflineHeading":"Offline Form submit failed","FailOfflineDesc":"Unable to connect to the Internet. Please try submitting the offline forms later in internet connection.","OfflineSubmitWait":"It may take sometime to finish all submits depending on the size of offline forms and internet connection.","OfflineSubmitWaitCounter":"Left","OfflineSubmitError":"Submit error: Please try later."}},"UxPreferences":null}</t>
  </si>
  <si>
    <t>{"IsHide":false,"HiddenInExcel":false,"SheetId":-1,"Name":"Calculate_Canister_Fuel_Level","Guid":"YVMHGJ","Index":2,"VisibleRange":"","SheetTheme":{"TabColor":"","BodyColor":"","BodyImage":""},"IsPrintSheet":false}</t>
  </si>
  <si>
    <t>{"IsHide":false,"HiddenInExcel":false,"SheetId":-1,"Name":"Refilling_Canisters","Guid":"SMRBSK","Index":3,"VisibleRange":"","SheetTheme":{"TabColor":"","BodyColor":"","BodyImage":""},"IsPrintSheet":false}</t>
  </si>
  <si>
    <t>{"IsHide":false,"HiddenInExcel":false,"SheetId":-1,"Name":"Usage_Profiles","Guid":"C0E0C4","Index":4,"VisibleRange":"","SheetTheme":{"TabColor":"","BodyColor":"","BodyImage":""},"IsPrintSheet":false}</t>
  </si>
  <si>
    <t>{"IsHide":false,"HiddenInExcel":false,"SheetId":-1,"Name":"Canister_Refill_Specs","Guid":"3WO876","Index":5,"VisibleRange":"","SheetTheme":{"TabColor":"","BodyColor":"","BodyImage":""},"IsPrintSheet":false}</t>
  </si>
  <si>
    <t>{"IsHide":false,"HiddenInExcel":false,"SheetId":-1,"Name":"PSI vs Temp","Guid":"OKGRLH","Index":6,"VisibleRange":"","SheetTheme":{"TabColor":"","BodyColor":"","BodyImage":""},"IsPrintSheet":false}</t>
  </si>
  <si>
    <t>Usage Profiles</t>
  </si>
  <si>
    <t>{"InputDetection":1,"RecalcMode":0,"Layout":4,"LayoutSamePagesHeightEnabled":false,"Theme":{"BgColor":"#FFFFFFFF","BgImage":"","InputBorderStyle":2,"AppliedTheme":""},"SmartphoneSettings":{"ViewportLock":true,"UseOldViewEngine":false,"EnableZoom":false,"EnableSwipe":false,"HideToolbar":false,"InheritBackgroundColor":false,"CheckboxFlavor":1,"ShowBubble":false},"Name":"Single-Use Fuel Canister Tool","Flavor":3,"Edition":3,"CopyProtect":{"IsEnabled":false,"DomainName":""},"HideSscPoweredlogo":false,"AspnetConfig":{"BrowseUrl":"http://localhost/ssc","FileExtension":0},"NodeSecureLoginEnabled":false,"SmartphoneTheme":1,"Toolbar":{"Position":1,"IsSubmit":true,"IsPrintSheet":true,"IsPrintAll":true,"IsPrintThis":false,"IsReset":true,"IsUpdate":true},"ConfigureSubmit":{"IsShowCaptcha":false,"IsUseSscWebServer":true,"ReceiverCode":"dwallquist@comcast.net","IsFreeService":false,"IsAdvanceService":false,"IsSecureEmail":false,"IsDemonstrationService":true,"AfterSuccessfulSubmit":"","AfterFailSubmit":"","AfterCancelWizard":"","IsUseOwnWebServer":false,"OwnWebServerURL":"","OwnWebServerTarget":"","SubmitTarget":0},"IgnoreBgInputCell":false,"ButtonStyle":0,"ResponsiveDesignDisabled":false,"HideLookupRange":false,"BrowserStorageEnabled":false,"RealtimeSyncEnabled":false,"GoogleAnalyticsTrackingId":"","GoogleApiKey":"","ChartSelected":3,"ChartYAxisFixed":false}</t>
  </si>
  <si>
    <t xml:space="preserve"> </t>
  </si>
  <si>
    <t>Appropriate safety precautions should always be used and proper safety gear/clothing worn when handling flammable gases.</t>
  </si>
  <si>
    <t>Working with canister gases should only be done in well ventilated areas and under adult supervision.</t>
  </si>
  <si>
    <t>When handling flammable gas, recommend all tools &amp; hardware be made of brass to reduce chances of sparking.</t>
  </si>
  <si>
    <t>When refilling single-use canisters, recommend only refilling with the same brand/blend of fuel to avoid contamination or adverse results.</t>
  </si>
  <si>
    <t>Transferring liquid fuel relies upon various factors: gravity, PSI, etc. We use gravity to exchange liquid fuel from the top canister with gas vapors from the bottom canister.</t>
  </si>
  <si>
    <t>When refilling single-use canisters, you should avoid over-filling them beyond their original capacities. It is a good practice to always weigh these canisters when purchased and record the original weights on the canister.</t>
  </si>
  <si>
    <t xml:space="preserve">Fuel Level: </t>
  </si>
  <si>
    <t xml:space="preserve">Start (canister+fuel): </t>
  </si>
  <si>
    <t xml:space="preserve">Current (canister+fuel): </t>
  </si>
  <si>
    <t xml:space="preserve">*Empty (if known): </t>
  </si>
  <si>
    <r>
      <t xml:space="preserve">(*Calculations are </t>
    </r>
    <r>
      <rPr>
        <b/>
        <i/>
        <u/>
        <sz val="8"/>
        <color rgb="FF000000"/>
        <rFont val="Arial"/>
        <family val="2"/>
      </rPr>
      <t>estimated</t>
    </r>
    <r>
      <rPr>
        <i/>
        <sz val="8"/>
        <color rgb="FF000000"/>
        <rFont val="Arial"/>
        <family val="2"/>
      </rPr>
      <t xml:space="preserve"> when “Empty” weight</t>
    </r>
  </si>
  <si>
    <t>Refilling Canisters</t>
  </si>
  <si>
    <t xml:space="preserve">Cost of fuel per gram: </t>
  </si>
  <si>
    <t xml:space="preserve">               Select Order</t>
  </si>
  <si>
    <t xml:space="preserve">               Of Profiles</t>
  </si>
  <si>
    <t xml:space="preserve">               To Compare</t>
  </si>
  <si>
    <t>Description</t>
  </si>
  <si>
    <t>The only way to properly measure the amount of fuel in a canister is by weight alone. Canisters should never be over filled beyond the manufacturers original weights (approximately 80% of the canister’s total capacity).</t>
  </si>
  <si>
    <t>While it is legal to refill single-use canisters in the US at this time, it is the individual’s responsibility to follow all local, state and federal laws. Currently, federal law prohibits the transport of refilled single-use canisters in commercial vehicles (an exception may be the small, refillable Flame King propane canisters).</t>
  </si>
  <si>
    <t xml:space="preserve"> Cost: </t>
  </si>
  <si>
    <t xml:space="preserve">Canister cost: </t>
  </si>
  <si>
    <t xml:space="preserve">Red: </t>
  </si>
  <si>
    <t>Stove - Jet Flash</t>
  </si>
  <si>
    <t>Stove - Pocket Rocket 2</t>
  </si>
  <si>
    <t>Stove - Coleman</t>
  </si>
  <si>
    <t>Hike - Summer</t>
  </si>
  <si>
    <t>Hike - Winter</t>
  </si>
  <si>
    <t>Hike - Short</t>
  </si>
  <si>
    <t>Hike - Long</t>
  </si>
  <si>
    <t>Hike - Higher Elevations</t>
  </si>
  <si>
    <t>Hike - Spring &amp; Fall</t>
  </si>
  <si>
    <t>Camping - Weekend</t>
  </si>
  <si>
    <t>Coleman (16.4 oz P)</t>
  </si>
  <si>
    <t xml:space="preserve">    Copyright ©2019 by Don Wallquist</t>
  </si>
  <si>
    <t xml:space="preserve">     Copyright ©2019 by Don Wallquist</t>
  </si>
  <si>
    <t>Canisters</t>
  </si>
  <si>
    <t>Receiving Canister</t>
  </si>
  <si>
    <t>Donor Canister</t>
  </si>
  <si>
    <t xml:space="preserve">Yellow: </t>
  </si>
  <si>
    <t>First Day</t>
  </si>
  <si>
    <t>Stopover</t>
  </si>
  <si>
    <t>Last Day</t>
  </si>
  <si>
    <t>Fuel Level</t>
  </si>
  <si>
    <t>Preferred</t>
  </si>
  <si>
    <t>Refilling</t>
  </si>
  <si>
    <t>Cautions when refilling canisters</t>
  </si>
  <si>
    <t>Hiking &amp; Camping</t>
  </si>
  <si>
    <t>Compare Canister Options</t>
  </si>
  <si>
    <t xml:space="preserve">          Fuel Level</t>
  </si>
  <si>
    <t xml:space="preserve">Thresholds </t>
  </si>
  <si>
    <t>Thresholds</t>
  </si>
  <si>
    <t>15lb Propane Grill tank</t>
  </si>
  <si>
    <t>Note: all weights are recorded at room temp (75 F)</t>
  </si>
  <si>
    <t xml:space="preserve">     Note: all weights are recorded at room temp (75 F)</t>
  </si>
  <si>
    <t xml:space="preserve">    Note: all weights are recorded at room temp (75 F)</t>
  </si>
  <si>
    <t>75 F</t>
  </si>
  <si>
    <t>0 F</t>
  </si>
  <si>
    <t>Jet Boil Iso 100</t>
  </si>
  <si>
    <t>Jet Boil Iso 230</t>
  </si>
  <si>
    <t>Jet Boil Iso 450</t>
  </si>
  <si>
    <t>Coleman iso 220</t>
  </si>
  <si>
    <t>Coleman Propane #1</t>
  </si>
  <si>
    <t>Coleman Propane #2</t>
  </si>
  <si>
    <t>Coleman Propane #3</t>
  </si>
  <si>
    <t>Coleman Propane #4</t>
  </si>
  <si>
    <t>Bernz Propane #1</t>
  </si>
  <si>
    <t>Bernz Propane #2</t>
  </si>
  <si>
    <t>Difference</t>
  </si>
  <si>
    <t>PSI - Temp - Weight</t>
  </si>
  <si>
    <t>At any given temperature, the canister PSI will stay constant independent of the amount of liquid fuel in the canister. If the temperature remains constant, the PSI only changes as liquid fuel or gas vapors leave the canister. The canister contains gas vapors on the top and liquid fuel on the bottom. If the PSI is too low for the current temperature, some of the liquid fuel will boil to create more gas vapors until it reaches the appropriate PSI. If the temperature drops, some of the gas vapors will revert back to a liquid state and the weight will change accordingly. Depending on the fuel being used, the effects may vary considerably. For example, the following are weights of typical canisters at room temperature and after placing in a freezer for an hour:</t>
  </si>
  <si>
    <t>TEMP vs PSI</t>
  </si>
  <si>
    <t>TEMP vs Weight</t>
  </si>
  <si>
    <t>Purging of excess gas vapors should only be done via the connection ports of the single-use containers using the port itself or hardware attached to the port for that purpose. Never attempt to use the over pressure valve on a single-use canister for purging. Should the over pressure valve become damaged, it could fail later and possibly result in an explosion.</t>
  </si>
  <si>
    <t>One method for refilling canisters uses temperature to increase the transfer of fuel between canisters. For example, the upper canister might be around 75 F and the lower canister cooled in a freezer to around 0 F. The cooling reduces the PSI in the lower canister (refer to chart above). This results in a higher PSI in the top canister and a lower PSI in the bottom canister. The PSI differential will transfer liquid fuel faster before stopping. In this method of transfer, it is common for too much fuel to be transferred resulting in dangerous over-pressure situations when the temperatures normalize and/or they are stored in hot environments. Be very careful if you use this method of refilling single-use canisters.</t>
  </si>
  <si>
    <t>When temperatures of the canisters are kept the same the transfer process is fairly easy to predict and usually requires some purging of the bottom canister to “top off” to the normal fill level (approximately 80% of the canister’s total capacity). Under most circumstances, the canister doesn't need to filled to the original weight when purchased, only to a reasonable level. Obviously, there may be cases where a fill to the state when purchased will be necessary.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</si>
</sst>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0.00;\-[$$-409]#,##0.00"/>
    <numFmt numFmtId="165" formatCode="[$$-409]#,##0.0000;\-[$$-409]#,##0.0000"/>
    <numFmt numFmtId="166" formatCode="0.0"/>
    <numFmt numFmtId="167" formatCode="\+###;\-###;0"/>
  </numFmts>
  <fonts count="34" x14ac:knownFonts="1">
    <font>
      <sz val="10"/>
      <name val="Arial"/>
      <family val="2"/>
    </font>
    <font>
      <sz val="10"/>
      <color rgb="FF000000"/>
      <name val="Mangal"/>
      <family val="2"/>
    </font>
    <font>
      <b/>
      <sz val="14"/>
      <name val="Arial"/>
      <family val="2"/>
    </font>
    <font>
      <b/>
      <sz val="14"/>
      <color rgb="FFCE181E"/>
      <name val="Arial"/>
      <family val="2"/>
    </font>
    <font>
      <b/>
      <sz val="10"/>
      <name val="Arial"/>
      <family val="2"/>
    </font>
    <font>
      <sz val="10"/>
      <color rgb="FF3333FF"/>
      <name val="Arial"/>
      <family val="2"/>
    </font>
    <font>
      <b/>
      <sz val="10"/>
      <color rgb="FF0000FF"/>
      <name val="Arial"/>
      <family val="2"/>
    </font>
    <font>
      <b/>
      <sz val="10"/>
      <color rgb="FF000000"/>
      <name val="Arial"/>
      <family val="2"/>
    </font>
    <font>
      <b/>
      <sz val="10"/>
      <color rgb="FF3333FF"/>
      <name val="Arial"/>
      <family val="2"/>
    </font>
    <font>
      <sz val="10"/>
      <color rgb="FF000000"/>
      <name val="Arial"/>
      <family val="2"/>
    </font>
    <font>
      <i/>
      <sz val="8"/>
      <color rgb="FF000000"/>
      <name val="Arial"/>
      <family val="2"/>
    </font>
    <font>
      <sz val="8"/>
      <name val="Arial"/>
      <family val="2"/>
    </font>
    <font>
      <b/>
      <i/>
      <u/>
      <sz val="8"/>
      <color rgb="FF000000"/>
      <name val="Arial"/>
      <family val="2"/>
    </font>
    <font>
      <b/>
      <sz val="10"/>
      <color rgb="FFFF6600"/>
      <name val="Arial"/>
      <family val="2"/>
    </font>
    <font>
      <i/>
      <sz val="8"/>
      <name val="Arial"/>
      <family val="2"/>
    </font>
    <font>
      <i/>
      <sz val="10"/>
      <name val="Arial"/>
      <family val="2"/>
    </font>
    <font>
      <b/>
      <sz val="12"/>
      <name val="Arial"/>
      <family val="2"/>
    </font>
    <font>
      <b/>
      <sz val="10"/>
      <name val="Times New Roman"/>
      <family val="1"/>
    </font>
    <font>
      <sz val="10"/>
      <name val="Times New Roman"/>
      <family val="1"/>
    </font>
    <font>
      <sz val="10"/>
      <color theme="1"/>
      <name val="Arial"/>
      <family val="2"/>
    </font>
    <font>
      <sz val="10"/>
      <color rgb="FF00B050"/>
      <name val="Arial"/>
      <family val="2"/>
    </font>
    <font>
      <sz val="10"/>
      <color rgb="FF0000FF"/>
      <name val="Arial"/>
      <family val="2"/>
    </font>
    <font>
      <b/>
      <sz val="14"/>
      <color rgb="FFFF0000"/>
      <name val="Arial"/>
      <family val="2"/>
    </font>
    <font>
      <sz val="10"/>
      <color rgb="FFFF0000"/>
      <name val="Arial"/>
      <family val="2"/>
    </font>
    <font>
      <b/>
      <sz val="10"/>
      <color theme="1"/>
      <name val="Arial"/>
      <family val="2"/>
    </font>
    <font>
      <sz val="11"/>
      <name val="Times New Roman"/>
      <family val="1"/>
    </font>
    <font>
      <b/>
      <sz val="11"/>
      <name val="Times New Roman"/>
      <family val="1"/>
    </font>
    <font>
      <sz val="10"/>
      <color theme="2" tint="-0.499984740745262"/>
      <name val="Arial"/>
      <family val="2"/>
    </font>
    <font>
      <i/>
      <sz val="8"/>
      <color theme="2" tint="-0.499984740745262"/>
      <name val="Arial"/>
      <family val="2"/>
    </font>
    <font>
      <b/>
      <sz val="10"/>
      <color theme="5"/>
      <name val="Arial"/>
      <family val="2"/>
    </font>
    <font>
      <b/>
      <sz val="10"/>
      <color rgb="FFFF0000"/>
      <name val="Arial"/>
      <family val="2"/>
    </font>
    <font>
      <sz val="10"/>
      <color theme="0"/>
      <name val="Arial"/>
      <family val="2"/>
    </font>
    <font>
      <b/>
      <sz val="10"/>
      <color theme="0"/>
      <name val="Arial"/>
      <family val="2"/>
    </font>
    <font>
      <b/>
      <sz val="8"/>
      <color rgb="FFFF0000"/>
      <name val="Arial"/>
      <family val="2"/>
    </font>
  </fonts>
  <fills count="8">
    <fill>
      <patternFill patternType="none"/>
    </fill>
    <fill>
      <patternFill patternType="gray125"/>
    </fill>
    <fill>
      <patternFill patternType="solid">
        <fgColor rgb="FFDDDDDD"/>
        <bgColor rgb="FFFFCCCC"/>
      </patternFill>
    </fill>
    <fill>
      <patternFill patternType="solid">
        <fgColor theme="0"/>
        <bgColor indexed="64"/>
      </patternFill>
    </fill>
    <fill>
      <patternFill patternType="solid">
        <fgColor rgb="FFFFFF00"/>
        <bgColor indexed="64"/>
      </patternFill>
    </fill>
    <fill>
      <patternFill patternType="solid">
        <fgColor rgb="FFFFFF00"/>
        <bgColor rgb="FFFFFFFF"/>
      </patternFill>
    </fill>
    <fill>
      <patternFill patternType="solid">
        <fgColor theme="2" tint="-0.24994659260841701"/>
        <bgColor rgb="FFFFFFFF"/>
      </patternFill>
    </fill>
    <fill>
      <patternFill patternType="solid">
        <fgColor theme="2"/>
        <bgColor indexed="64"/>
      </patternFill>
    </fill>
  </fills>
  <borders count="8">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right style="thin">
        <color auto="1"/>
      </right>
      <top/>
      <bottom/>
      <diagonal/>
    </border>
    <border>
      <left/>
      <right style="thin">
        <color auto="1"/>
      </right>
      <top style="thin">
        <color auto="1"/>
      </top>
      <bottom style="thin">
        <color auto="1"/>
      </bottom>
      <diagonal/>
    </border>
  </borders>
  <cellStyleXfs count="2">
    <xf numFmtId="0" fontId="0" fillId="0" borderId="0"/>
    <xf numFmtId="0" fontId="1" fillId="2" borderId="0" applyBorder="0" applyAlignment="0" applyProtection="0"/>
  </cellStyleXfs>
  <cellXfs count="155">
    <xf numFmtId="0" fontId="0" fillId="0" borderId="0" xfId="0"/>
    <xf numFmtId="0" fontId="0" fillId="0" borderId="0" xfId="0" applyAlignment="1">
      <alignment horizontal="center"/>
    </xf>
    <xf numFmtId="0" fontId="2" fillId="0" borderId="0" xfId="0" applyFont="1"/>
    <xf numFmtId="0" fontId="4" fillId="0" borderId="0" xfId="0" applyFont="1" applyAlignment="1">
      <alignment horizontal="center"/>
    </xf>
    <xf numFmtId="0" fontId="4" fillId="0" borderId="1" xfId="0" applyFont="1" applyBorder="1" applyAlignment="1">
      <alignment horizontal="center"/>
    </xf>
    <xf numFmtId="0" fontId="5" fillId="0" borderId="0" xfId="0" applyFont="1" applyAlignment="1">
      <alignment horizontal="center"/>
    </xf>
    <xf numFmtId="0" fontId="4" fillId="0" borderId="0" xfId="0" applyFont="1" applyAlignment="1">
      <alignment horizontal="left"/>
    </xf>
    <xf numFmtId="0" fontId="4" fillId="0" borderId="0" xfId="0" applyFont="1" applyAlignment="1">
      <alignment horizontal="right"/>
    </xf>
    <xf numFmtId="0" fontId="6" fillId="0" borderId="0" xfId="0" applyFont="1" applyAlignment="1">
      <alignment horizontal="right"/>
    </xf>
    <xf numFmtId="0" fontId="6" fillId="0" borderId="0" xfId="0" applyFont="1" applyAlignment="1">
      <alignment horizontal="left"/>
    </xf>
    <xf numFmtId="0" fontId="6" fillId="0" borderId="0" xfId="0" applyFont="1" applyAlignment="1">
      <alignment horizontal="center"/>
    </xf>
    <xf numFmtId="0" fontId="0" fillId="0" borderId="0" xfId="0" applyAlignment="1">
      <alignment horizontal="right"/>
    </xf>
    <xf numFmtId="0" fontId="7" fillId="0" borderId="0" xfId="0" applyFont="1" applyAlignment="1">
      <alignment horizontal="center"/>
    </xf>
    <xf numFmtId="0" fontId="7" fillId="0" borderId="0" xfId="0" applyFont="1" applyAlignment="1">
      <alignment horizontal="left"/>
    </xf>
    <xf numFmtId="0" fontId="7" fillId="0" borderId="0" xfId="0" applyFont="1" applyAlignment="1">
      <alignment horizontal="left" indent="1"/>
    </xf>
    <xf numFmtId="0" fontId="6" fillId="0" borderId="0" xfId="0" applyFont="1"/>
    <xf numFmtId="0" fontId="10" fillId="0" borderId="0" xfId="0" applyFont="1" applyAlignment="1">
      <alignment horizontal="left" indent="1"/>
    </xf>
    <xf numFmtId="0" fontId="9" fillId="0" borderId="0" xfId="0" applyFont="1" applyAlignment="1">
      <alignment horizontal="center"/>
    </xf>
    <xf numFmtId="0" fontId="2" fillId="0" borderId="0" xfId="0" applyFont="1" applyAlignment="1">
      <alignment horizontal="left" indent="1"/>
    </xf>
    <xf numFmtId="0" fontId="3" fillId="0" borderId="0" xfId="0" applyFont="1" applyAlignment="1">
      <alignment horizontal="left" indent="1"/>
    </xf>
    <xf numFmtId="0" fontId="0" fillId="0" borderId="0" xfId="0" applyAlignment="1">
      <alignment horizontal="left"/>
    </xf>
    <xf numFmtId="0" fontId="0" fillId="2" borderId="0" xfId="0" applyFill="1" applyAlignment="1">
      <alignment horizontal="left" indent="1"/>
    </xf>
    <xf numFmtId="0" fontId="4" fillId="0" borderId="0" xfId="0" applyFont="1"/>
    <xf numFmtId="164" fontId="9" fillId="2" borderId="0" xfId="0" applyNumberFormat="1" applyFont="1" applyFill="1" applyAlignment="1">
      <alignment horizontal="center"/>
    </xf>
    <xf numFmtId="165" fontId="5" fillId="0" borderId="0" xfId="0" applyNumberFormat="1" applyFont="1" applyAlignment="1">
      <alignment horizontal="center"/>
    </xf>
    <xf numFmtId="0" fontId="13" fillId="0" borderId="0" xfId="0" applyFont="1"/>
    <xf numFmtId="0" fontId="13" fillId="0" borderId="0" xfId="0" applyFont="1" applyAlignment="1">
      <alignment horizontal="right"/>
    </xf>
    <xf numFmtId="0" fontId="14" fillId="0" borderId="0" xfId="0" applyFont="1"/>
    <xf numFmtId="0" fontId="10" fillId="0" borderId="0" xfId="0" applyFont="1"/>
    <xf numFmtId="0" fontId="15" fillId="0" borderId="0" xfId="0" applyFont="1"/>
    <xf numFmtId="0" fontId="16" fillId="0" borderId="0" xfId="0" applyFont="1" applyAlignment="1">
      <alignment horizontal="left"/>
    </xf>
    <xf numFmtId="9" fontId="17" fillId="0" borderId="0" xfId="0" applyNumberFormat="1" applyFont="1" applyAlignment="1">
      <alignment horizontal="center" wrapText="1"/>
    </xf>
    <xf numFmtId="0" fontId="17" fillId="0" borderId="0" xfId="0" applyFont="1" applyAlignment="1">
      <alignment horizontal="center" wrapText="1"/>
    </xf>
    <xf numFmtId="0" fontId="18" fillId="0" borderId="0" xfId="0" applyFont="1" applyAlignment="1">
      <alignment horizontal="center" wrapText="1"/>
    </xf>
    <xf numFmtId="0" fontId="18" fillId="0" borderId="0" xfId="0" applyFont="1" applyAlignment="1">
      <alignment wrapText="1"/>
    </xf>
    <xf numFmtId="166" fontId="5" fillId="0" borderId="0" xfId="0" applyNumberFormat="1" applyFont="1" applyAlignment="1">
      <alignment horizontal="center"/>
    </xf>
    <xf numFmtId="0" fontId="13" fillId="0" borderId="0" xfId="0" applyFont="1" applyAlignment="1">
      <alignment horizontal="center"/>
    </xf>
    <xf numFmtId="1" fontId="5" fillId="0" borderId="0" xfId="0" applyNumberFormat="1" applyFont="1" applyAlignment="1">
      <alignment horizontal="center"/>
    </xf>
    <xf numFmtId="1" fontId="9" fillId="2" borderId="0" xfId="0" applyNumberFormat="1" applyFont="1" applyFill="1" applyAlignment="1">
      <alignment horizontal="center"/>
    </xf>
    <xf numFmtId="1" fontId="9" fillId="2" borderId="1" xfId="0" applyNumberFormat="1" applyFont="1" applyFill="1" applyBorder="1" applyAlignment="1">
      <alignment horizontal="center"/>
    </xf>
    <xf numFmtId="1" fontId="0" fillId="0" borderId="0" xfId="0" applyNumberFormat="1"/>
    <xf numFmtId="1" fontId="5" fillId="0" borderId="4" xfId="0" applyNumberFormat="1" applyFont="1" applyBorder="1" applyAlignment="1">
      <alignment horizontal="center"/>
    </xf>
    <xf numFmtId="1" fontId="9" fillId="0" borderId="0" xfId="0" applyNumberFormat="1" applyFont="1" applyAlignment="1">
      <alignment horizontal="center"/>
    </xf>
    <xf numFmtId="0" fontId="0" fillId="3" borderId="3" xfId="0" applyFill="1" applyBorder="1" applyAlignment="1">
      <alignment horizontal="center"/>
    </xf>
    <xf numFmtId="0" fontId="0" fillId="3" borderId="3" xfId="0" applyFill="1" applyBorder="1" applyAlignment="1">
      <alignment horizontal="center" wrapText="1"/>
    </xf>
    <xf numFmtId="0" fontId="0" fillId="0" borderId="6" xfId="0" applyBorder="1" applyAlignment="1">
      <alignment horizontal="center"/>
    </xf>
    <xf numFmtId="0" fontId="19" fillId="0" borderId="0" xfId="0" applyFont="1"/>
    <xf numFmtId="1" fontId="8" fillId="0" borderId="0" xfId="0" applyNumberFormat="1" applyFont="1" applyAlignment="1">
      <alignment horizontal="center"/>
    </xf>
    <xf numFmtId="0" fontId="20" fillId="0" borderId="0" xfId="0" applyFont="1"/>
    <xf numFmtId="9" fontId="20" fillId="0" borderId="0" xfId="0" applyNumberFormat="1" applyFont="1" applyAlignment="1">
      <alignment horizontal="center"/>
    </xf>
    <xf numFmtId="0" fontId="9" fillId="0" borderId="0" xfId="0" applyFont="1" applyAlignment="1">
      <alignment horizontal="right"/>
    </xf>
    <xf numFmtId="164" fontId="21" fillId="0" borderId="0" xfId="0" applyNumberFormat="1" applyFont="1" applyAlignment="1">
      <alignment horizontal="center"/>
    </xf>
    <xf numFmtId="1" fontId="0" fillId="4" borderId="3" xfId="0" applyNumberFormat="1" applyFill="1" applyBorder="1" applyAlignment="1" applyProtection="1">
      <alignment horizontal="center"/>
      <protection locked="0"/>
    </xf>
    <xf numFmtId="1" fontId="0" fillId="5" borderId="3" xfId="0" applyNumberFormat="1" applyFill="1" applyBorder="1" applyAlignment="1" applyProtection="1">
      <alignment horizontal="center"/>
      <protection locked="0"/>
    </xf>
    <xf numFmtId="0" fontId="19" fillId="4" borderId="3" xfId="0" applyFont="1" applyFill="1" applyBorder="1" applyAlignment="1" applyProtection="1">
      <alignment horizontal="center"/>
      <protection locked="0"/>
    </xf>
    <xf numFmtId="1" fontId="9" fillId="4" borderId="3" xfId="0" applyNumberFormat="1" applyFont="1" applyFill="1" applyBorder="1" applyAlignment="1" applyProtection="1">
      <alignment horizontal="center"/>
      <protection locked="0"/>
    </xf>
    <xf numFmtId="164" fontId="0" fillId="4" borderId="3" xfId="0" applyNumberFormat="1" applyFill="1" applyBorder="1" applyAlignment="1" applyProtection="1">
      <alignment horizontal="center"/>
      <protection locked="0"/>
    </xf>
    <xf numFmtId="164" fontId="0" fillId="4" borderId="5" xfId="0" applyNumberFormat="1" applyFill="1" applyBorder="1" applyAlignment="1" applyProtection="1">
      <alignment horizontal="center"/>
      <protection locked="0"/>
    </xf>
    <xf numFmtId="1" fontId="0" fillId="4" borderId="5" xfId="0" applyNumberFormat="1" applyFill="1" applyBorder="1" applyAlignment="1" applyProtection="1">
      <alignment horizontal="center"/>
      <protection locked="0"/>
    </xf>
    <xf numFmtId="1" fontId="9" fillId="4" borderId="5" xfId="0" applyNumberFormat="1" applyFont="1" applyFill="1" applyBorder="1" applyAlignment="1" applyProtection="1">
      <alignment horizontal="center"/>
      <protection locked="0"/>
    </xf>
    <xf numFmtId="0" fontId="0" fillId="6" borderId="3" xfId="0" applyFill="1" applyBorder="1" applyAlignment="1">
      <alignment horizontal="center"/>
    </xf>
    <xf numFmtId="0" fontId="0" fillId="6" borderId="3" xfId="0" applyFill="1" applyBorder="1" applyAlignment="1">
      <alignment horizontal="center" wrapText="1"/>
    </xf>
    <xf numFmtId="0" fontId="0" fillId="4" borderId="3" xfId="0" applyFill="1" applyBorder="1" applyProtection="1">
      <protection locked="0"/>
    </xf>
    <xf numFmtId="0" fontId="0" fillId="4" borderId="2" xfId="0" applyFill="1" applyBorder="1" applyProtection="1">
      <protection locked="0"/>
    </xf>
    <xf numFmtId="0" fontId="25" fillId="0" borderId="0" xfId="0" applyFont="1"/>
    <xf numFmtId="0" fontId="25" fillId="0" borderId="0" xfId="0" applyFont="1" applyAlignment="1">
      <alignment vertical="top" wrapText="1"/>
    </xf>
    <xf numFmtId="0" fontId="0" fillId="0" borderId="0" xfId="0" applyAlignment="1">
      <alignment vertical="top" wrapText="1"/>
    </xf>
    <xf numFmtId="0" fontId="27" fillId="0" borderId="0" xfId="0" applyFont="1"/>
    <xf numFmtId="0" fontId="27" fillId="0" borderId="0" xfId="0" applyFont="1" applyAlignment="1">
      <alignment horizontal="center"/>
    </xf>
    <xf numFmtId="0" fontId="27" fillId="0" borderId="0" xfId="0" applyFont="1" applyAlignment="1">
      <alignment horizontal="right"/>
    </xf>
    <xf numFmtId="1" fontId="27" fillId="0" borderId="0" xfId="0" applyNumberFormat="1" applyFont="1" applyAlignment="1">
      <alignment horizontal="center"/>
    </xf>
    <xf numFmtId="0" fontId="28" fillId="0" borderId="0" xfId="0" applyFont="1" applyAlignment="1">
      <alignment horizontal="left" indent="1"/>
    </xf>
    <xf numFmtId="0" fontId="24" fillId="0" borderId="0" xfId="0" applyFont="1" applyAlignment="1">
      <alignment horizontal="right"/>
    </xf>
    <xf numFmtId="0" fontId="23" fillId="0" borderId="0" xfId="0" applyFont="1" applyAlignment="1">
      <alignment horizontal="center"/>
    </xf>
    <xf numFmtId="1" fontId="24" fillId="0" borderId="0" xfId="0" applyNumberFormat="1" applyFont="1" applyAlignment="1">
      <alignment horizontal="center"/>
    </xf>
    <xf numFmtId="1" fontId="31" fillId="0" borderId="0" xfId="0" applyNumberFormat="1" applyFont="1" applyAlignment="1">
      <alignment horizontal="center"/>
    </xf>
    <xf numFmtId="0" fontId="31" fillId="0" borderId="0" xfId="0" applyFont="1" applyAlignment="1">
      <alignment horizontal="center"/>
    </xf>
    <xf numFmtId="0" fontId="31" fillId="0" borderId="0" xfId="0" applyFont="1"/>
    <xf numFmtId="0" fontId="32" fillId="0" borderId="0" xfId="0" applyFont="1" applyAlignment="1">
      <alignment horizontal="right"/>
    </xf>
    <xf numFmtId="0" fontId="31" fillId="0" borderId="0" xfId="0" applyFont="1" applyAlignment="1">
      <alignment horizontal="right"/>
    </xf>
    <xf numFmtId="1" fontId="31" fillId="0" borderId="0" xfId="0" applyNumberFormat="1" applyFont="1"/>
    <xf numFmtId="9" fontId="31" fillId="0" borderId="0" xfId="0" applyNumberFormat="1" applyFont="1" applyAlignment="1">
      <alignment horizontal="center"/>
    </xf>
    <xf numFmtId="0" fontId="22" fillId="0" borderId="0" xfId="0" applyFont="1" applyAlignment="1">
      <alignment horizontal="center"/>
    </xf>
    <xf numFmtId="0" fontId="3" fillId="0" borderId="0" xfId="0" applyFont="1" applyAlignment="1">
      <alignment horizontal="center"/>
    </xf>
    <xf numFmtId="0" fontId="29" fillId="0" borderId="0" xfId="0" applyFont="1" applyAlignment="1">
      <alignment horizontal="right"/>
    </xf>
    <xf numFmtId="0" fontId="0" fillId="7" borderId="0" xfId="0" applyFill="1" applyAlignment="1">
      <alignment horizontal="center"/>
    </xf>
    <xf numFmtId="0" fontId="0" fillId="0" borderId="0" xfId="0" applyAlignment="1">
      <alignment horizontal="center"/>
    </xf>
    <xf numFmtId="0" fontId="0" fillId="0" borderId="0" xfId="0"/>
    <xf numFmtId="0" fontId="0" fillId="0" borderId="0" xfId="0" applyAlignment="1">
      <alignment horizontal="right"/>
    </xf>
    <xf numFmtId="0" fontId="0" fillId="7" borderId="0" xfId="0" applyFill="1" applyAlignment="1"/>
    <xf numFmtId="0" fontId="23" fillId="0" borderId="0" xfId="0" applyFont="1"/>
    <xf numFmtId="9" fontId="23" fillId="0" borderId="0" xfId="0" applyNumberFormat="1" applyFont="1" applyAlignment="1">
      <alignment horizontal="center"/>
    </xf>
    <xf numFmtId="0" fontId="29" fillId="0" borderId="0" xfId="0" applyFont="1" applyAlignment="1">
      <alignment horizontal="center"/>
    </xf>
    <xf numFmtId="0" fontId="33" fillId="0" borderId="0" xfId="0" applyFont="1" applyAlignment="1">
      <alignment horizontal="left"/>
    </xf>
    <xf numFmtId="0" fontId="0" fillId="0" borderId="0" xfId="0" applyAlignment="1">
      <alignment horizontal="left"/>
    </xf>
    <xf numFmtId="1" fontId="30" fillId="0" borderId="0" xfId="0" applyNumberFormat="1" applyFont="1" applyAlignment="1">
      <alignment horizontal="left"/>
    </xf>
    <xf numFmtId="0" fontId="0" fillId="0" borderId="0" xfId="0" applyAlignment="1">
      <alignment horizontal="center"/>
    </xf>
    <xf numFmtId="0" fontId="0" fillId="0" borderId="0" xfId="0"/>
    <xf numFmtId="0" fontId="10" fillId="0" borderId="0" xfId="0" applyFont="1"/>
    <xf numFmtId="0" fontId="4" fillId="0" borderId="0" xfId="0" applyFont="1" applyAlignment="1">
      <alignment horizontal="right"/>
    </xf>
    <xf numFmtId="0" fontId="0" fillId="0" borderId="0" xfId="0" applyAlignment="1">
      <alignment horizontal="center"/>
    </xf>
    <xf numFmtId="0" fontId="11" fillId="0" borderId="0" xfId="0" applyFont="1" applyAlignment="1">
      <alignment horizontal="center"/>
    </xf>
    <xf numFmtId="0" fontId="0" fillId="0" borderId="0" xfId="0"/>
    <xf numFmtId="0" fontId="4" fillId="0" borderId="0" xfId="0" applyFont="1" applyAlignment="1">
      <alignment horizontal="center"/>
    </xf>
    <xf numFmtId="0" fontId="23" fillId="0" borderId="0" xfId="0" applyFont="1" applyAlignment="1">
      <alignment horizontal="left"/>
    </xf>
    <xf numFmtId="166" fontId="23" fillId="0" borderId="0" xfId="0" applyNumberFormat="1" applyFont="1" applyAlignment="1">
      <alignment horizontal="center"/>
    </xf>
    <xf numFmtId="0" fontId="24" fillId="0" borderId="0" xfId="0" applyNumberFormat="1" applyFont="1" applyAlignment="1">
      <alignment horizontal="right"/>
    </xf>
    <xf numFmtId="1" fontId="24" fillId="0" borderId="0" xfId="0" applyNumberFormat="1" applyFont="1" applyAlignment="1">
      <alignment horizontal="right"/>
    </xf>
    <xf numFmtId="0" fontId="32" fillId="0" borderId="0" xfId="0" applyFont="1" applyAlignment="1"/>
    <xf numFmtId="0" fontId="4" fillId="0" borderId="0" xfId="0" applyFont="1" applyAlignment="1">
      <alignment horizontal="center"/>
    </xf>
    <xf numFmtId="0" fontId="0" fillId="0" borderId="0" xfId="0" applyAlignment="1">
      <alignment horizontal="center"/>
    </xf>
    <xf numFmtId="0" fontId="0" fillId="0" borderId="0" xfId="0"/>
    <xf numFmtId="0" fontId="0" fillId="0" borderId="3" xfId="0" applyBorder="1" applyAlignment="1">
      <alignment horizontal="center"/>
    </xf>
    <xf numFmtId="167" fontId="0" fillId="0" borderId="3" xfId="0" applyNumberFormat="1" applyBorder="1" applyAlignment="1">
      <alignment horizontal="center"/>
    </xf>
    <xf numFmtId="0" fontId="4" fillId="0" borderId="0" xfId="0" applyFont="1" applyAlignment="1">
      <alignment horizontal="center"/>
    </xf>
    <xf numFmtId="0" fontId="22" fillId="0" borderId="0" xfId="0" applyFont="1" applyAlignment="1">
      <alignment horizontal="center"/>
    </xf>
    <xf numFmtId="0" fontId="0" fillId="0" borderId="0" xfId="0"/>
    <xf numFmtId="0" fontId="32" fillId="0" borderId="0" xfId="0" applyFont="1" applyAlignment="1">
      <alignment horizontal="center"/>
    </xf>
    <xf numFmtId="0" fontId="22" fillId="0" borderId="0" xfId="0" applyFont="1" applyAlignment="1">
      <alignment horizontal="center"/>
    </xf>
    <xf numFmtId="0" fontId="0" fillId="0" borderId="0" xfId="0" applyAlignment="1">
      <alignment horizontal="center"/>
    </xf>
    <xf numFmtId="0" fontId="0" fillId="0" borderId="0" xfId="0"/>
    <xf numFmtId="0" fontId="23" fillId="0" borderId="0" xfId="0" applyFont="1" applyAlignment="1">
      <alignment horizontal="center"/>
    </xf>
    <xf numFmtId="0" fontId="0" fillId="0" borderId="0" xfId="0"/>
    <xf numFmtId="0" fontId="0" fillId="4" borderId="2" xfId="0" applyFill="1" applyBorder="1" applyAlignment="1" applyProtection="1">
      <alignment horizontal="center"/>
      <protection locked="0"/>
    </xf>
    <xf numFmtId="0" fontId="9" fillId="2" borderId="0" xfId="0" applyFont="1" applyFill="1" applyAlignment="1">
      <alignment horizontal="left" indent="1"/>
    </xf>
    <xf numFmtId="0" fontId="0" fillId="0" borderId="0" xfId="0" applyAlignment="1">
      <alignment horizontal="left" indent="1"/>
    </xf>
    <xf numFmtId="0" fontId="10" fillId="0" borderId="0" xfId="0" applyFont="1" applyAlignment="1">
      <alignment horizontal="left" indent="1"/>
    </xf>
    <xf numFmtId="0" fontId="4" fillId="0" borderId="1" xfId="0" applyFont="1" applyBorder="1" applyAlignment="1">
      <alignment horizontal="center"/>
    </xf>
    <xf numFmtId="0" fontId="0" fillId="0" borderId="1" xfId="0" applyBorder="1" applyAlignment="1">
      <alignment horizontal="center"/>
    </xf>
    <xf numFmtId="0" fontId="4" fillId="0" borderId="0" xfId="0" applyFont="1" applyAlignment="1">
      <alignment horizontal="right"/>
    </xf>
    <xf numFmtId="0" fontId="0" fillId="0" borderId="0" xfId="0" applyFont="1" applyAlignment="1">
      <alignment horizontal="right"/>
    </xf>
    <xf numFmtId="0" fontId="4" fillId="0" borderId="0" xfId="0" applyFont="1" applyAlignment="1">
      <alignment horizontal="center"/>
    </xf>
    <xf numFmtId="0" fontId="10" fillId="0" borderId="0" xfId="0" applyFont="1" applyAlignment="1">
      <alignment horizontal="left"/>
    </xf>
    <xf numFmtId="0" fontId="0" fillId="0" borderId="0" xfId="0" applyAlignment="1"/>
    <xf numFmtId="0" fontId="22" fillId="0" borderId="0" xfId="0" applyFont="1" applyAlignment="1">
      <alignment horizontal="center"/>
    </xf>
    <xf numFmtId="0" fontId="0" fillId="0" borderId="0" xfId="0" applyAlignment="1">
      <alignment horizontal="center"/>
    </xf>
    <xf numFmtId="0" fontId="0" fillId="0" borderId="6" xfId="0" applyBorder="1" applyAlignment="1">
      <alignment horizontal="right"/>
    </xf>
    <xf numFmtId="0" fontId="11" fillId="0" borderId="0" xfId="0" applyFont="1" applyAlignment="1">
      <alignment horizontal="center"/>
    </xf>
    <xf numFmtId="0" fontId="0" fillId="0" borderId="0" xfId="0"/>
    <xf numFmtId="0" fontId="0" fillId="0" borderId="0" xfId="0" applyAlignment="1">
      <alignment horizontal="right"/>
    </xf>
    <xf numFmtId="0" fontId="14" fillId="0" borderId="0" xfId="0" applyFont="1" applyAlignment="1"/>
    <xf numFmtId="0" fontId="0" fillId="2" borderId="0" xfId="0" applyFill="1" applyAlignment="1">
      <alignment horizontal="left"/>
    </xf>
    <xf numFmtId="0" fontId="0" fillId="2" borderId="0" xfId="0" applyFill="1"/>
    <xf numFmtId="0" fontId="14" fillId="0" borderId="0" xfId="0" applyFont="1" applyAlignment="1">
      <alignment horizontal="left"/>
    </xf>
    <xf numFmtId="0" fontId="3" fillId="0" borderId="0" xfId="0" applyFont="1" applyAlignment="1">
      <alignment horizontal="center"/>
    </xf>
    <xf numFmtId="0" fontId="23" fillId="0" borderId="0" xfId="0" applyFont="1" applyAlignment="1">
      <alignment horizontal="center"/>
    </xf>
    <xf numFmtId="0" fontId="0" fillId="0" borderId="3" xfId="0" applyBorder="1" applyAlignment="1"/>
    <xf numFmtId="0" fontId="25" fillId="0" borderId="0" xfId="0" applyFont="1" applyAlignment="1">
      <alignment vertical="top" wrapText="1"/>
    </xf>
    <xf numFmtId="0" fontId="0" fillId="0" borderId="0" xfId="0" applyAlignment="1">
      <alignment vertical="top" wrapText="1"/>
    </xf>
    <xf numFmtId="0" fontId="26" fillId="0" borderId="0" xfId="0" applyFont="1" applyAlignment="1"/>
    <xf numFmtId="0" fontId="4" fillId="0" borderId="0" xfId="0" applyFont="1" applyAlignment="1"/>
    <xf numFmtId="0" fontId="10" fillId="0" borderId="0" xfId="0" applyFont="1"/>
    <xf numFmtId="0" fontId="0" fillId="4" borderId="2" xfId="0" applyFill="1" applyBorder="1" applyAlignment="1" applyProtection="1">
      <alignment horizontal="left"/>
      <protection locked="0"/>
    </xf>
    <xf numFmtId="0" fontId="0" fillId="4" borderId="7" xfId="0" applyFill="1" applyBorder="1" applyAlignment="1">
      <alignment horizontal="left"/>
    </xf>
    <xf numFmtId="0" fontId="0" fillId="4" borderId="7" xfId="0" applyFill="1" applyBorder="1" applyAlignment="1">
      <alignment horizontal="center"/>
    </xf>
  </cellXfs>
  <cellStyles count="2">
    <cellStyle name="Explanatory Text" xfId="1" builtinId="53" customBuiltin="1"/>
    <cellStyle name="Normal" xfId="0" builtinId="0"/>
  </cellStyles>
  <dxfs count="0"/>
  <tableStyles count="0" defaultTableStyle="TableStyleMedium2" defaultPivotStyle="PivotStyleLight16"/>
  <colors>
    <indexedColors>
      <rgbColor rgb="FF000000"/>
      <rgbColor rgb="FFFFFFFF"/>
      <rgbColor rgb="FFCC0000"/>
      <rgbColor rgb="FF00FF00"/>
      <rgbColor rgb="FF0000FF"/>
      <rgbColor rgb="FFFFFF00"/>
      <rgbColor rgb="FFFF00FF"/>
      <rgbColor rgb="FF00FFFF"/>
      <rgbColor rgb="FF800000"/>
      <rgbColor rgb="FF006600"/>
      <rgbColor rgb="FF000080"/>
      <rgbColor rgb="FF9966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EE"/>
      <rgbColor rgb="FF00CCFF"/>
      <rgbColor rgb="FFCCFFFF"/>
      <rgbColor rgb="FFCCFFCC"/>
      <rgbColor rgb="FFFFFF99"/>
      <rgbColor rgb="FF99CCFF"/>
      <rgbColor rgb="FFFF99CC"/>
      <rgbColor rgb="FFCC99FF"/>
      <rgbColor rgb="FFFFCCCC"/>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993366"/>
      <rgbColor rgb="FF3333FF"/>
      <rgbColor rgb="FF333333"/>
      <rgbColor rgb="00003366"/>
      <rgbColor rgb="00339966"/>
      <rgbColor rgb="00003300"/>
      <rgbColor rgb="00333300"/>
      <rgbColor rgb="00993300"/>
      <rgbColor rgb="00993366"/>
      <rgbColor rgb="00333399"/>
      <rgbColor rgb="00333333"/>
    </indexedColors>
    <mruColors>
      <color rgb="FF3333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550300339974262E-2"/>
          <c:y val="6.7419782859245922E-2"/>
          <c:w val="0.83338934982120527"/>
          <c:h val="0.91356815553028092"/>
        </c:manualLayout>
      </c:layout>
      <c:doughnutChart>
        <c:varyColors val="1"/>
        <c:ser>
          <c:idx val="0"/>
          <c:order val="1"/>
          <c:tx>
            <c:v>Gauge face</c:v>
          </c:tx>
          <c:spPr>
            <a:ln>
              <a:noFill/>
            </a:ln>
          </c:spPr>
          <c:dPt>
            <c:idx val="0"/>
            <c:bubble3D val="0"/>
            <c:spPr>
              <a:solidFill>
                <a:srgbClr val="FF0000"/>
              </a:solidFill>
              <a:ln w="19050">
                <a:noFill/>
              </a:ln>
              <a:effectLst/>
            </c:spPr>
            <c:extLst>
              <c:ext xmlns:c16="http://schemas.microsoft.com/office/drawing/2014/chart" uri="{C3380CC4-5D6E-409C-BE32-E72D297353CC}">
                <c16:uniqueId val="{00000001-684E-4CA6-8E9A-6E6A8A99CD91}"/>
              </c:ext>
            </c:extLst>
          </c:dPt>
          <c:dPt>
            <c:idx val="1"/>
            <c:bubble3D val="0"/>
            <c:spPr>
              <a:solidFill>
                <a:srgbClr val="FFFF00"/>
              </a:solidFill>
              <a:ln w="19050">
                <a:noFill/>
              </a:ln>
              <a:effectLst/>
            </c:spPr>
            <c:extLst>
              <c:ext xmlns:c16="http://schemas.microsoft.com/office/drawing/2014/chart" uri="{C3380CC4-5D6E-409C-BE32-E72D297353CC}">
                <c16:uniqueId val="{00000002-7254-4E88-A0D4-98767BA54C1F}"/>
              </c:ext>
            </c:extLst>
          </c:dPt>
          <c:dPt>
            <c:idx val="2"/>
            <c:bubble3D val="0"/>
            <c:spPr>
              <a:solidFill>
                <a:srgbClr val="00CC00"/>
              </a:solidFill>
              <a:ln w="19050">
                <a:noFill/>
              </a:ln>
              <a:effectLst/>
            </c:spPr>
            <c:extLst>
              <c:ext xmlns:c16="http://schemas.microsoft.com/office/drawing/2014/chart" uri="{C3380CC4-5D6E-409C-BE32-E72D297353CC}">
                <c16:uniqueId val="{00000003-7254-4E88-A0D4-98767BA54C1F}"/>
              </c:ext>
            </c:extLst>
          </c:dPt>
          <c:dPt>
            <c:idx val="3"/>
            <c:bubble3D val="0"/>
            <c:spPr>
              <a:noFill/>
              <a:ln w="19050">
                <a:noFill/>
              </a:ln>
              <a:effectLst/>
            </c:spPr>
            <c:extLst>
              <c:ext xmlns:c16="http://schemas.microsoft.com/office/drawing/2014/chart" uri="{C3380CC4-5D6E-409C-BE32-E72D297353CC}">
                <c16:uniqueId val="{00000004-7254-4E88-A0D4-98767BA54C1F}"/>
              </c:ext>
            </c:extLst>
          </c:dPt>
          <c:dPt>
            <c:idx val="4"/>
            <c:bubble3D val="0"/>
            <c:spPr>
              <a:noFill/>
              <a:ln w="19050">
                <a:noFill/>
              </a:ln>
              <a:effectLst/>
            </c:spPr>
            <c:extLst>
              <c:ext xmlns:c16="http://schemas.microsoft.com/office/drawing/2014/chart" uri="{C3380CC4-5D6E-409C-BE32-E72D297353CC}">
                <c16:uniqueId val="{00000001-7254-4E88-A0D4-98767BA54C1F}"/>
              </c:ext>
            </c:extLst>
          </c:dPt>
          <c:val>
            <c:numRef>
              <c:f>'Calculate Canister Fuel Level'!$G$24:$G$27</c:f>
              <c:numCache>
                <c:formatCode>0</c:formatCode>
                <c:ptCount val="4"/>
                <c:pt idx="0">
                  <c:v>6.5217391304347823</c:v>
                </c:pt>
                <c:pt idx="1">
                  <c:v>26.086956521739133</c:v>
                </c:pt>
                <c:pt idx="2">
                  <c:v>67.391304347826093</c:v>
                </c:pt>
                <c:pt idx="3" formatCode="General">
                  <c:v>100</c:v>
                </c:pt>
              </c:numCache>
            </c:numRef>
          </c:val>
          <c:extLst>
            <c:ext xmlns:c16="http://schemas.microsoft.com/office/drawing/2014/chart" uri="{C3380CC4-5D6E-409C-BE32-E72D297353CC}">
              <c16:uniqueId val="{00000000-7254-4E88-A0D4-98767BA54C1F}"/>
            </c:ext>
          </c:extLst>
        </c:ser>
        <c:dLbls>
          <c:showLegendKey val="0"/>
          <c:showVal val="0"/>
          <c:showCatName val="0"/>
          <c:showSerName val="0"/>
          <c:showPercent val="0"/>
          <c:showBubbleSize val="0"/>
          <c:showLeaderLines val="1"/>
        </c:dLbls>
        <c:firstSliceAng val="270"/>
        <c:holeSize val="50"/>
      </c:doughnutChart>
      <c:pieChart>
        <c:varyColors val="1"/>
        <c:ser>
          <c:idx val="1"/>
          <c:order val="0"/>
          <c:tx>
            <c:v>pointer</c:v>
          </c:tx>
          <c:spPr>
            <a:ln>
              <a:noFill/>
            </a:ln>
          </c:spPr>
          <c:dPt>
            <c:idx val="0"/>
            <c:bubble3D val="0"/>
            <c:spPr>
              <a:noFill/>
              <a:ln w="19050">
                <a:noFill/>
              </a:ln>
              <a:effectLst/>
            </c:spPr>
            <c:extLst>
              <c:ext xmlns:c16="http://schemas.microsoft.com/office/drawing/2014/chart" uri="{C3380CC4-5D6E-409C-BE32-E72D297353CC}">
                <c16:uniqueId val="{00000007-7254-4E88-A0D4-98767BA54C1F}"/>
              </c:ext>
            </c:extLst>
          </c:dPt>
          <c:dPt>
            <c:idx val="1"/>
            <c:bubble3D val="0"/>
            <c:spPr>
              <a:solidFill>
                <a:schemeClr val="tx1"/>
              </a:solidFill>
              <a:ln w="19050">
                <a:noFill/>
              </a:ln>
              <a:effectLst/>
            </c:spPr>
            <c:extLst>
              <c:ext xmlns:c16="http://schemas.microsoft.com/office/drawing/2014/chart" uri="{C3380CC4-5D6E-409C-BE32-E72D297353CC}">
                <c16:uniqueId val="{00000008-7254-4E88-A0D4-98767BA54C1F}"/>
              </c:ext>
            </c:extLst>
          </c:dPt>
          <c:dPt>
            <c:idx val="2"/>
            <c:bubble3D val="0"/>
            <c:spPr>
              <a:noFill/>
              <a:ln w="19050">
                <a:noFill/>
              </a:ln>
              <a:effectLst/>
            </c:spPr>
            <c:extLst>
              <c:ext xmlns:c16="http://schemas.microsoft.com/office/drawing/2014/chart" uri="{C3380CC4-5D6E-409C-BE32-E72D297353CC}">
                <c16:uniqueId val="{00000006-7254-4E88-A0D4-98767BA54C1F}"/>
              </c:ext>
            </c:extLst>
          </c:dPt>
          <c:dLbls>
            <c:dLbl>
              <c:idx val="1"/>
              <c:layout>
                <c:manualLayout>
                  <c:x val="1.1752534790093609E-2"/>
                  <c:y val="1.0311958237692613E-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7D836B2F-A9B5-4BAF-B842-5A8BBAA90C5C}" type="CELLREF">
                      <a:rPr lang="en-US" sz="1200"/>
                      <a:pPr>
                        <a:defRPr/>
                      </a:pPr>
                      <a:t>[CELLREF]</a:t>
                    </a:fld>
                    <a:endParaRPr lang="en-US"/>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manualLayout>
                      <c:w val="0.14538989077978157"/>
                      <c:h val="9.3750181596304147E-2"/>
                    </c:manualLayout>
                  </c15:layout>
                  <c15:dlblFieldTable>
                    <c15:dlblFTEntry>
                      <c15:txfldGUID>{7D836B2F-A9B5-4BAF-B842-5A8BBAA90C5C}</c15:txfldGUID>
                      <c15:f>'Calculate Canister Fuel Level'!$I$25</c15:f>
                      <c15:dlblFieldTableCache>
                        <c:ptCount val="1"/>
                        <c:pt idx="0">
                          <c:v>63%</c:v>
                        </c:pt>
                      </c15:dlblFieldTableCache>
                    </c15:dlblFTEntry>
                  </c15:dlblFieldTable>
                  <c15:showDataLabelsRange val="0"/>
                </c:ext>
                <c:ext xmlns:c16="http://schemas.microsoft.com/office/drawing/2014/chart" uri="{C3380CC4-5D6E-409C-BE32-E72D297353CC}">
                  <c16:uniqueId val="{00000008-7254-4E88-A0D4-98767BA54C1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s>
          <c:val>
            <c:numRef>
              <c:f>'Calculate Canister Fuel Level'!$H$25:$H$27</c:f>
              <c:numCache>
                <c:formatCode>General</c:formatCode>
                <c:ptCount val="3"/>
                <c:pt idx="0" formatCode="0">
                  <c:v>62.608695652173921</c:v>
                </c:pt>
                <c:pt idx="1">
                  <c:v>2</c:v>
                </c:pt>
                <c:pt idx="2" formatCode="0">
                  <c:v>135.39130434782606</c:v>
                </c:pt>
              </c:numCache>
            </c:numRef>
          </c:val>
          <c:extLst>
            <c:ext xmlns:c16="http://schemas.microsoft.com/office/drawing/2014/chart" uri="{C3380CC4-5D6E-409C-BE32-E72D297353CC}">
              <c16:uniqueId val="{00000005-7254-4E88-A0D4-98767BA54C1F}"/>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13874215090206"/>
          <c:y val="9.4361809789450274E-2"/>
          <c:w val="0.70363544319571325"/>
          <c:h val="0.87500053268249223"/>
        </c:manualLayout>
      </c:layout>
      <c:doughnutChart>
        <c:varyColors val="1"/>
        <c:ser>
          <c:idx val="0"/>
          <c:order val="1"/>
          <c:tx>
            <c:v>Gauge face</c:v>
          </c:tx>
          <c:spPr>
            <a:ln>
              <a:noFill/>
            </a:ln>
          </c:spPr>
          <c:dPt>
            <c:idx val="0"/>
            <c:bubble3D val="0"/>
            <c:spPr>
              <a:solidFill>
                <a:srgbClr val="FF0000"/>
              </a:solidFill>
              <a:ln w="19050">
                <a:noFill/>
              </a:ln>
              <a:effectLst/>
            </c:spPr>
            <c:extLst>
              <c:ext xmlns:c16="http://schemas.microsoft.com/office/drawing/2014/chart" uri="{C3380CC4-5D6E-409C-BE32-E72D297353CC}">
                <c16:uniqueId val="{00000001-B2B8-4224-B358-FF4230CA1BC6}"/>
              </c:ext>
            </c:extLst>
          </c:dPt>
          <c:dPt>
            <c:idx val="1"/>
            <c:bubble3D val="0"/>
            <c:spPr>
              <a:solidFill>
                <a:srgbClr val="FFFF00"/>
              </a:solidFill>
              <a:ln w="19050">
                <a:noFill/>
              </a:ln>
              <a:effectLst/>
            </c:spPr>
            <c:extLst>
              <c:ext xmlns:c16="http://schemas.microsoft.com/office/drawing/2014/chart" uri="{C3380CC4-5D6E-409C-BE32-E72D297353CC}">
                <c16:uniqueId val="{00000003-B2B8-4224-B358-FF4230CA1BC6}"/>
              </c:ext>
            </c:extLst>
          </c:dPt>
          <c:dPt>
            <c:idx val="2"/>
            <c:bubble3D val="0"/>
            <c:spPr>
              <a:solidFill>
                <a:srgbClr val="00CC00"/>
              </a:solidFill>
              <a:ln w="19050">
                <a:noFill/>
              </a:ln>
              <a:effectLst/>
            </c:spPr>
            <c:extLst>
              <c:ext xmlns:c16="http://schemas.microsoft.com/office/drawing/2014/chart" uri="{C3380CC4-5D6E-409C-BE32-E72D297353CC}">
                <c16:uniqueId val="{00000005-B2B8-4224-B358-FF4230CA1BC6}"/>
              </c:ext>
            </c:extLst>
          </c:dPt>
          <c:dPt>
            <c:idx val="3"/>
            <c:bubble3D val="0"/>
            <c:spPr>
              <a:noFill/>
              <a:ln w="19050">
                <a:noFill/>
              </a:ln>
              <a:effectLst/>
            </c:spPr>
            <c:extLst>
              <c:ext xmlns:c16="http://schemas.microsoft.com/office/drawing/2014/chart" uri="{C3380CC4-5D6E-409C-BE32-E72D297353CC}">
                <c16:uniqueId val="{00000007-B2B8-4224-B358-FF4230CA1BC6}"/>
              </c:ext>
            </c:extLst>
          </c:dPt>
          <c:dPt>
            <c:idx val="4"/>
            <c:bubble3D val="0"/>
            <c:spPr>
              <a:noFill/>
              <a:ln w="19050">
                <a:noFill/>
              </a:ln>
              <a:effectLst/>
            </c:spPr>
            <c:extLst>
              <c:ext xmlns:c16="http://schemas.microsoft.com/office/drawing/2014/chart" uri="{C3380CC4-5D6E-409C-BE32-E72D297353CC}">
                <c16:uniqueId val="{00000009-B2B8-4224-B358-FF4230CA1BC6}"/>
              </c:ext>
            </c:extLst>
          </c:dPt>
          <c:val>
            <c:numRef>
              <c:f>'Refilling Canisters'!$G$24:$G$27</c:f>
              <c:numCache>
                <c:formatCode>0</c:formatCode>
                <c:ptCount val="4"/>
                <c:pt idx="0">
                  <c:v>3.225806451612903</c:v>
                </c:pt>
                <c:pt idx="1">
                  <c:v>12.903225806451612</c:v>
                </c:pt>
                <c:pt idx="2">
                  <c:v>83.870967741935488</c:v>
                </c:pt>
                <c:pt idx="3" formatCode="General">
                  <c:v>100</c:v>
                </c:pt>
              </c:numCache>
            </c:numRef>
          </c:val>
          <c:extLst>
            <c:ext xmlns:c16="http://schemas.microsoft.com/office/drawing/2014/chart" uri="{C3380CC4-5D6E-409C-BE32-E72D297353CC}">
              <c16:uniqueId val="{0000000A-B2B8-4224-B358-FF4230CA1BC6}"/>
            </c:ext>
          </c:extLst>
        </c:ser>
        <c:dLbls>
          <c:showLegendKey val="0"/>
          <c:showVal val="0"/>
          <c:showCatName val="0"/>
          <c:showSerName val="0"/>
          <c:showPercent val="0"/>
          <c:showBubbleSize val="0"/>
          <c:showLeaderLines val="1"/>
        </c:dLbls>
        <c:firstSliceAng val="270"/>
        <c:holeSize val="50"/>
      </c:doughnutChart>
      <c:pieChart>
        <c:varyColors val="1"/>
        <c:ser>
          <c:idx val="1"/>
          <c:order val="0"/>
          <c:tx>
            <c:v>pointer</c:v>
          </c:tx>
          <c:spPr>
            <a:ln>
              <a:noFill/>
            </a:ln>
          </c:spPr>
          <c:dPt>
            <c:idx val="0"/>
            <c:bubble3D val="0"/>
            <c:spPr>
              <a:noFill/>
              <a:ln w="19050">
                <a:noFill/>
              </a:ln>
              <a:effectLst/>
            </c:spPr>
            <c:extLst>
              <c:ext xmlns:c16="http://schemas.microsoft.com/office/drawing/2014/chart" uri="{C3380CC4-5D6E-409C-BE32-E72D297353CC}">
                <c16:uniqueId val="{0000000C-B2B8-4224-B358-FF4230CA1BC6}"/>
              </c:ext>
            </c:extLst>
          </c:dPt>
          <c:dPt>
            <c:idx val="1"/>
            <c:bubble3D val="0"/>
            <c:spPr>
              <a:solidFill>
                <a:schemeClr val="tx1"/>
              </a:solidFill>
              <a:ln w="19050">
                <a:noFill/>
              </a:ln>
              <a:effectLst/>
            </c:spPr>
            <c:extLst>
              <c:ext xmlns:c16="http://schemas.microsoft.com/office/drawing/2014/chart" uri="{C3380CC4-5D6E-409C-BE32-E72D297353CC}">
                <c16:uniqueId val="{0000000E-B2B8-4224-B358-FF4230CA1BC6}"/>
              </c:ext>
            </c:extLst>
          </c:dPt>
          <c:dPt>
            <c:idx val="2"/>
            <c:bubble3D val="0"/>
            <c:spPr>
              <a:noFill/>
              <a:ln w="19050">
                <a:noFill/>
              </a:ln>
              <a:effectLst/>
            </c:spPr>
            <c:extLst>
              <c:ext xmlns:c16="http://schemas.microsoft.com/office/drawing/2014/chart" uri="{C3380CC4-5D6E-409C-BE32-E72D297353CC}">
                <c16:uniqueId val="{00000010-B2B8-4224-B358-FF4230CA1BC6}"/>
              </c:ext>
            </c:extLst>
          </c:dPt>
          <c:dLbls>
            <c:dLbl>
              <c:idx val="1"/>
              <c:layout>
                <c:manualLayout>
                  <c:x val="2.9673590504451001E-2"/>
                  <c:y val="1.5231936817399667E-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D4E7F22D-CFB1-4B96-A945-178974809C4C}" type="CELLREF">
                      <a:rPr lang="en-US" sz="1200"/>
                      <a:pPr>
                        <a:defRPr/>
                      </a:pPr>
                      <a:t>[CELLREF]</a:t>
                    </a:fld>
                    <a:endParaRPr lang="en-US"/>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manualLayout>
                      <c:w val="0.11671612265084075"/>
                      <c:h val="9.3750181596304147E-2"/>
                    </c:manualLayout>
                  </c15:layout>
                  <c15:dlblFieldTable>
                    <c15:dlblFTEntry>
                      <c15:txfldGUID>{D4E7F22D-CFB1-4B96-A945-178974809C4C}</c15:txfldGUID>
                      <c15:f>'Refilling Canisters'!$J$24</c15:f>
                      <c15:dlblFieldTableCache>
                        <c:ptCount val="1"/>
                        <c:pt idx="0">
                          <c:v>77%</c:v>
                        </c:pt>
                      </c15:dlblFieldTableCache>
                    </c15:dlblFTEntry>
                  </c15:dlblFieldTable>
                  <c15:showDataLabelsRange val="0"/>
                </c:ext>
                <c:ext xmlns:c16="http://schemas.microsoft.com/office/drawing/2014/chart" uri="{C3380CC4-5D6E-409C-BE32-E72D297353CC}">
                  <c16:uniqueId val="{0000000E-B2B8-4224-B358-FF4230CA1BC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s>
          <c:val>
            <c:numRef>
              <c:f>'Refilling Canisters'!$I$24:$I$26</c:f>
              <c:numCache>
                <c:formatCode>General</c:formatCode>
                <c:ptCount val="3"/>
                <c:pt idx="0" formatCode="0">
                  <c:v>77.41935483870968</c:v>
                </c:pt>
                <c:pt idx="1">
                  <c:v>2</c:v>
                </c:pt>
                <c:pt idx="2" formatCode="0">
                  <c:v>120.58064516129032</c:v>
                </c:pt>
              </c:numCache>
            </c:numRef>
          </c:val>
          <c:extLst>
            <c:ext xmlns:c16="http://schemas.microsoft.com/office/drawing/2014/chart" uri="{C3380CC4-5D6E-409C-BE32-E72D297353CC}">
              <c16:uniqueId val="{00000011-B2B8-4224-B358-FF4230CA1BC6}"/>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190500</xdr:colOff>
      <xdr:row>13</xdr:row>
      <xdr:rowOff>114300</xdr:rowOff>
    </xdr:from>
    <xdr:to>
      <xdr:col>5</xdr:col>
      <xdr:colOff>247650</xdr:colOff>
      <xdr:row>26</xdr:row>
      <xdr:rowOff>9525</xdr:rowOff>
    </xdr:to>
    <xdr:graphicFrame macro="">
      <xdr:nvGraphicFramePr>
        <xdr:cNvPr id="4" name="Chart 3">
          <a:extLst>
            <a:ext uri="{FF2B5EF4-FFF2-40B4-BE49-F238E27FC236}">
              <a16:creationId xmlns:a16="http://schemas.microsoft.com/office/drawing/2014/main" id="{1139F2A5-8F70-4380-B617-C6F8373AA1F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314326</xdr:colOff>
      <xdr:row>15</xdr:row>
      <xdr:rowOff>66674</xdr:rowOff>
    </xdr:from>
    <xdr:to>
      <xdr:col>4</xdr:col>
      <xdr:colOff>400051</xdr:colOff>
      <xdr:row>28</xdr:row>
      <xdr:rowOff>0</xdr:rowOff>
    </xdr:to>
    <xdr:graphicFrame macro="">
      <xdr:nvGraphicFramePr>
        <xdr:cNvPr id="4" name="Chart 3">
          <a:extLst>
            <a:ext uri="{FF2B5EF4-FFF2-40B4-BE49-F238E27FC236}">
              <a16:creationId xmlns:a16="http://schemas.microsoft.com/office/drawing/2014/main" id="{31F67002-70CA-4CA2-9287-8C112E5C43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1"/>
  <sheetViews>
    <sheetView showGridLines="0" showRowColHeaders="0" tabSelected="1" zoomScaleNormal="100" workbookViewId="0">
      <selection activeCell="E14" activeCellId="1" sqref="B6:E12 E14"/>
    </sheetView>
  </sheetViews>
  <sheetFormatPr defaultRowHeight="12.75" x14ac:dyDescent="0.2"/>
  <cols>
    <col min="1" max="1" width="2.42578125" customWidth="1"/>
    <col min="2" max="2" width="11.42578125" customWidth="1"/>
    <col min="3" max="3" width="10.28515625" customWidth="1"/>
    <col min="4" max="7" width="11.42578125" customWidth="1"/>
    <col min="8" max="8" width="10.7109375" style="1" customWidth="1"/>
    <col min="9" max="9" width="10.28515625" style="1" customWidth="1"/>
    <col min="10" max="1027" width="11.5703125"/>
  </cols>
  <sheetData>
    <row r="1" spans="2:9" ht="18" x14ac:dyDescent="0.25">
      <c r="B1" s="134" t="s">
        <v>0</v>
      </c>
      <c r="C1" s="135"/>
      <c r="D1" s="135"/>
      <c r="E1" s="135"/>
      <c r="F1" s="73"/>
    </row>
    <row r="2" spans="2:9" s="120" customFormat="1" ht="12.75" customHeight="1" x14ac:dyDescent="0.25">
      <c r="B2" s="118"/>
      <c r="C2" s="119"/>
      <c r="D2" s="119"/>
      <c r="E2" s="119"/>
      <c r="F2" s="121"/>
      <c r="H2" s="119"/>
      <c r="I2" s="119"/>
    </row>
    <row r="3" spans="2:9" x14ac:dyDescent="0.2">
      <c r="B3" s="3"/>
      <c r="C3" s="3"/>
      <c r="D3" s="3"/>
      <c r="E3" s="3" t="s">
        <v>1</v>
      </c>
      <c r="F3" s="3"/>
    </row>
    <row r="4" spans="2:9" x14ac:dyDescent="0.2">
      <c r="B4" s="3"/>
      <c r="C4" s="3"/>
      <c r="D4" s="3" t="s">
        <v>2</v>
      </c>
      <c r="E4" s="3" t="s">
        <v>3</v>
      </c>
      <c r="F4" s="1"/>
    </row>
    <row r="5" spans="2:9" x14ac:dyDescent="0.2">
      <c r="B5" s="127" t="s">
        <v>4</v>
      </c>
      <c r="C5" s="128"/>
      <c r="D5" s="3" t="s">
        <v>5</v>
      </c>
      <c r="E5" s="4" t="s">
        <v>38</v>
      </c>
      <c r="F5" s="1"/>
    </row>
    <row r="6" spans="2:9" x14ac:dyDescent="0.2">
      <c r="B6" s="152" t="s">
        <v>109</v>
      </c>
      <c r="C6" s="153"/>
      <c r="D6" s="52">
        <v>1</v>
      </c>
      <c r="E6" s="52">
        <v>30</v>
      </c>
      <c r="F6" s="75">
        <f t="shared" ref="F6:F12" si="0">D6*E6</f>
        <v>30</v>
      </c>
      <c r="H6" s="3"/>
    </row>
    <row r="7" spans="2:9" x14ac:dyDescent="0.2">
      <c r="B7" s="152" t="s">
        <v>116</v>
      </c>
      <c r="C7" s="153"/>
      <c r="D7" s="52">
        <v>6</v>
      </c>
      <c r="E7" s="52">
        <v>42</v>
      </c>
      <c r="F7" s="75">
        <f t="shared" si="0"/>
        <v>252</v>
      </c>
    </row>
    <row r="8" spans="2:9" x14ac:dyDescent="0.2">
      <c r="B8" s="152" t="s">
        <v>110</v>
      </c>
      <c r="C8" s="153"/>
      <c r="D8" s="52">
        <v>2</v>
      </c>
      <c r="E8" s="52">
        <v>10</v>
      </c>
      <c r="F8" s="75">
        <f t="shared" si="0"/>
        <v>20</v>
      </c>
    </row>
    <row r="9" spans="2:9" x14ac:dyDescent="0.2">
      <c r="B9" s="152" t="s">
        <v>116</v>
      </c>
      <c r="C9" s="153"/>
      <c r="D9" s="52">
        <v>4</v>
      </c>
      <c r="E9" s="52">
        <v>42</v>
      </c>
      <c r="F9" s="75">
        <f t="shared" si="0"/>
        <v>168</v>
      </c>
    </row>
    <row r="10" spans="2:9" x14ac:dyDescent="0.2">
      <c r="B10" s="152" t="s">
        <v>111</v>
      </c>
      <c r="C10" s="153"/>
      <c r="D10" s="52">
        <v>1</v>
      </c>
      <c r="E10" s="52">
        <v>10</v>
      </c>
      <c r="F10" s="75">
        <f t="shared" si="0"/>
        <v>10</v>
      </c>
    </row>
    <row r="11" spans="2:9" x14ac:dyDescent="0.2">
      <c r="B11" s="123"/>
      <c r="C11" s="154"/>
      <c r="D11" s="52">
        <v>0</v>
      </c>
      <c r="E11" s="52">
        <v>0</v>
      </c>
      <c r="F11" s="75">
        <f t="shared" si="0"/>
        <v>0</v>
      </c>
    </row>
    <row r="12" spans="2:9" x14ac:dyDescent="0.2">
      <c r="B12" s="123"/>
      <c r="C12" s="154"/>
      <c r="D12" s="52">
        <v>0</v>
      </c>
      <c r="E12" s="52">
        <v>0</v>
      </c>
      <c r="F12" s="75">
        <f t="shared" si="0"/>
        <v>0</v>
      </c>
    </row>
    <row r="13" spans="2:9" ht="6.4" customHeight="1" x14ac:dyDescent="0.2">
      <c r="F13" s="76"/>
    </row>
    <row r="14" spans="2:9" x14ac:dyDescent="0.2">
      <c r="B14" s="129" t="s">
        <v>49</v>
      </c>
      <c r="C14" s="129"/>
      <c r="D14" s="136"/>
      <c r="E14" s="53">
        <v>38</v>
      </c>
      <c r="F14" s="75">
        <f>E14</f>
        <v>38</v>
      </c>
    </row>
    <row r="15" spans="2:9" x14ac:dyDescent="0.2">
      <c r="B15" s="6"/>
      <c r="C15" s="6"/>
      <c r="D15" s="7"/>
      <c r="F15" s="5"/>
    </row>
    <row r="16" spans="2:9" x14ac:dyDescent="0.2">
      <c r="B16" s="8"/>
      <c r="C16" s="129" t="s">
        <v>6</v>
      </c>
      <c r="D16" s="130"/>
      <c r="E16" s="47">
        <f>SUM(F6:F14)</f>
        <v>518</v>
      </c>
    </row>
    <row r="17" spans="2:9" x14ac:dyDescent="0.2">
      <c r="D17" s="9"/>
      <c r="E17" s="1"/>
      <c r="F17" s="10"/>
    </row>
    <row r="18" spans="2:9" s="97" customFormat="1" x14ac:dyDescent="0.2">
      <c r="B18" s="131" t="s">
        <v>117</v>
      </c>
      <c r="C18" s="131"/>
      <c r="D18" s="131"/>
      <c r="E18" s="131"/>
      <c r="F18" s="10"/>
      <c r="H18" s="96"/>
      <c r="I18" s="96"/>
    </row>
    <row r="19" spans="2:9" x14ac:dyDescent="0.2">
      <c r="B19" s="106">
        <v>100</v>
      </c>
      <c r="C19" s="5">
        <f>ROUNDUP($E$16/B19,0)</f>
        <v>6</v>
      </c>
      <c r="D19" s="72">
        <v>110</v>
      </c>
      <c r="E19" s="5">
        <f>ROUNDUP($E$16/D19,0)</f>
        <v>5</v>
      </c>
    </row>
    <row r="20" spans="2:9" x14ac:dyDescent="0.2">
      <c r="B20" s="106">
        <v>220</v>
      </c>
      <c r="C20" s="5">
        <f>ROUNDUP($E$16/B20,0)</f>
        <v>3</v>
      </c>
      <c r="D20" s="107">
        <v>230</v>
      </c>
      <c r="E20" s="5">
        <f>ROUNDUP($E$16/D20,0)</f>
        <v>3</v>
      </c>
    </row>
    <row r="21" spans="2:9" x14ac:dyDescent="0.2">
      <c r="B21" s="106">
        <v>440</v>
      </c>
      <c r="C21" s="5">
        <f>ROUNDUP($E$16/B21,0)</f>
        <v>2</v>
      </c>
      <c r="D21" s="72">
        <v>450</v>
      </c>
      <c r="E21" s="5">
        <f>ROUNDUP($E$16/D21,0)</f>
        <v>2</v>
      </c>
      <c r="F21" s="37"/>
      <c r="G21" s="37"/>
    </row>
    <row r="22" spans="2:9" x14ac:dyDescent="0.2">
      <c r="D22" s="74"/>
      <c r="E22" s="5"/>
      <c r="F22" s="37"/>
      <c r="G22" s="37"/>
    </row>
    <row r="23" spans="2:9" x14ac:dyDescent="0.2">
      <c r="B23" s="13"/>
      <c r="C23" s="13"/>
      <c r="D23" s="12" t="s">
        <v>1</v>
      </c>
      <c r="E23" s="12" t="s">
        <v>1</v>
      </c>
      <c r="H23" s="3"/>
      <c r="I23" s="3"/>
    </row>
    <row r="24" spans="2:9" x14ac:dyDescent="0.2">
      <c r="B24" s="12"/>
      <c r="C24" s="12"/>
      <c r="D24" s="12" t="s">
        <v>3</v>
      </c>
      <c r="E24" s="12" t="s">
        <v>8</v>
      </c>
      <c r="G24" s="3"/>
      <c r="H24" s="3"/>
      <c r="I24" s="3"/>
    </row>
    <row r="25" spans="2:9" x14ac:dyDescent="0.2">
      <c r="B25" s="14" t="s">
        <v>9</v>
      </c>
      <c r="C25" s="14"/>
      <c r="D25" s="3" t="s">
        <v>38</v>
      </c>
      <c r="E25" s="3" t="s">
        <v>38</v>
      </c>
      <c r="G25" s="15"/>
      <c r="H25" s="10"/>
      <c r="I25" s="10"/>
    </row>
    <row r="26" spans="2:9" x14ac:dyDescent="0.2">
      <c r="B26" s="124" t="str">
        <f>INDEX('Usage Profiles'!B6:D15,INDEX('Usage Profiles'!C17:C19,1,1),1)</f>
        <v>Hike - Spring &amp; Fall</v>
      </c>
      <c r="C26" s="125"/>
      <c r="D26" s="38">
        <f>INDEX('Usage Profiles'!B6:D15,INDEX('Usage Profiles'!C17:C19,1,1),2)</f>
        <v>42</v>
      </c>
      <c r="E26" s="38">
        <f>INDEX('Usage Profiles'!B6:D15,INDEX('Usage Profiles'!C17:C19,1,1),3)</f>
        <v>5</v>
      </c>
      <c r="I26" s="42"/>
    </row>
    <row r="27" spans="2:9" x14ac:dyDescent="0.2">
      <c r="B27" s="124" t="str">
        <f>INDEX('Usage Profiles'!B6:D15,INDEX('Usage Profiles'!C17:C19,2,1),1)</f>
        <v>Stove - Pocket Rocket 2</v>
      </c>
      <c r="C27" s="125"/>
      <c r="D27" s="38">
        <f>INDEX('Usage Profiles'!B6:D15,INDEX('Usage Profiles'!C17:C19,2,1),2)</f>
        <v>42</v>
      </c>
      <c r="E27" s="38">
        <f>INDEX('Usage Profiles'!B6:D15,INDEX('Usage Profiles'!C17:C19,2,1),3)</f>
        <v>5</v>
      </c>
    </row>
    <row r="28" spans="2:9" x14ac:dyDescent="0.2">
      <c r="B28" s="124" t="str">
        <f>INDEX('Usage Profiles'!B6:D15,INDEX('Usage Profiles'!C17:C19,3,1),1)</f>
        <v>Stove - Jet Flash</v>
      </c>
      <c r="C28" s="125"/>
      <c r="D28" s="38">
        <f>INDEX('Usage Profiles'!B6:D15,INDEX('Usage Profiles'!C17:C19,3,1),2)</f>
        <v>20</v>
      </c>
      <c r="E28" s="38">
        <f>INDEX('Usage Profiles'!B6:D15,INDEX('Usage Profiles'!C17:C19,3,1),3)</f>
        <v>3</v>
      </c>
    </row>
    <row r="29" spans="2:9" x14ac:dyDescent="0.2">
      <c r="B29" s="16"/>
      <c r="C29" s="16"/>
      <c r="D29" s="17"/>
    </row>
    <row r="30" spans="2:9" s="111" customFormat="1" x14ac:dyDescent="0.2">
      <c r="B30" s="132" t="s">
        <v>124</v>
      </c>
      <c r="C30" s="133"/>
      <c r="D30" s="133"/>
      <c r="E30" s="133"/>
      <c r="H30" s="110"/>
      <c r="I30" s="110"/>
    </row>
    <row r="31" spans="2:9" x14ac:dyDescent="0.2">
      <c r="B31" s="126" t="s">
        <v>10</v>
      </c>
      <c r="C31" s="125"/>
      <c r="D31" s="125"/>
      <c r="E31" s="3"/>
      <c r="F31" s="12"/>
    </row>
  </sheetData>
  <sheetProtection algorithmName="SHA-512" hashValue="9qzLf9UKACiXOpTNzn4+5lLVBLuFghkD97myJnpy8RTssraOqgdDrGoaApJ5MuGvnMoCy23dR5Qnp7rqJfrleg==" saltValue="Ju8n8k2RsQImCA8YKESBRQ==" spinCount="100000" sheet="1" objects="1" scenarios="1" selectLockedCells="1"/>
  <mergeCells count="10">
    <mergeCell ref="B1:E1"/>
    <mergeCell ref="B14:D14"/>
    <mergeCell ref="B26:C26"/>
    <mergeCell ref="B27:C27"/>
    <mergeCell ref="B28:C28"/>
    <mergeCell ref="B31:D31"/>
    <mergeCell ref="B5:C5"/>
    <mergeCell ref="C16:D16"/>
    <mergeCell ref="B18:E18"/>
    <mergeCell ref="B30:E30"/>
  </mergeCells>
  <pageMargins left="0.78749999999999998" right="0.78749999999999998" top="0.88749999999999996" bottom="0.88749999999999996" header="0.78749999999999998" footer="0.78749999999999998"/>
  <pageSetup orientation="portrait" useFirstPageNumber="1" r:id="rId1"/>
  <customProperties>
    <customPr name="SSC_SHEET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0"/>
  <sheetViews>
    <sheetView showGridLines="0" showRowColHeaders="0" zoomScaleNormal="100" workbookViewId="0">
      <selection activeCell="G20" activeCellId="2" sqref="D8:D11 G19 G20"/>
    </sheetView>
  </sheetViews>
  <sheetFormatPr defaultColWidth="11.5703125" defaultRowHeight="12.75" x14ac:dyDescent="0.2"/>
  <cols>
    <col min="1" max="1" width="2.42578125" style="122" customWidth="1"/>
    <col min="2" max="3" width="14.140625" customWidth="1"/>
    <col min="8" max="8" width="8" customWidth="1"/>
    <col min="10" max="10" width="8.7109375" customWidth="1"/>
  </cols>
  <sheetData>
    <row r="1" spans="1:7" ht="18" x14ac:dyDescent="0.25">
      <c r="B1" s="134" t="s">
        <v>58</v>
      </c>
      <c r="C1" s="135"/>
      <c r="D1" s="135"/>
      <c r="E1" s="135"/>
      <c r="F1" s="86"/>
      <c r="G1" s="82"/>
    </row>
    <row r="2" spans="1:7" x14ac:dyDescent="0.2">
      <c r="D2" s="1"/>
      <c r="E2" s="1"/>
      <c r="F2" s="1"/>
      <c r="G2" s="1"/>
    </row>
    <row r="3" spans="1:7" x14ac:dyDescent="0.2">
      <c r="B3" s="3" t="s">
        <v>113</v>
      </c>
      <c r="C3" s="3" t="s">
        <v>22</v>
      </c>
      <c r="D3" s="3" t="s">
        <v>23</v>
      </c>
      <c r="E3" s="3" t="s">
        <v>7</v>
      </c>
      <c r="G3" s="1"/>
    </row>
    <row r="4" spans="1:7" x14ac:dyDescent="0.2">
      <c r="B4" s="89" t="str">
        <f>INDEX('Canister Refill Specs'!B5:F19,'Canister Refill Specs'!C25,1)</f>
        <v>Jetboil Jetpower (I-P)</v>
      </c>
      <c r="C4" s="85">
        <f>INDEX('Canister Refill Specs'!B5:F19,'Canister Refill Specs'!C25,2)</f>
        <v>100</v>
      </c>
      <c r="D4" s="85">
        <f>INDEX('Canister Refill Specs'!B5:F19,'Canister Refill Specs'!C25,3)</f>
        <v>92</v>
      </c>
      <c r="E4" s="85">
        <f>INDEX('Canister Refill Specs'!B5:F19,'Canister Refill Specs'!C25,4)</f>
        <v>198</v>
      </c>
      <c r="G4" s="1"/>
    </row>
    <row r="5" spans="1:7" x14ac:dyDescent="0.2">
      <c r="B5" s="89" t="str">
        <f>INDEX('Canister Refill Specs'!B5:F19,'Canister Refill Specs'!C26,1)</f>
        <v>Jetboil Jetpower (I-P)</v>
      </c>
      <c r="C5" s="85">
        <f>INDEX('Canister Refill Specs'!B5:F19,'Canister Refill Specs'!C26,2)</f>
        <v>230</v>
      </c>
      <c r="D5" s="85">
        <f>INDEX('Canister Refill Specs'!B5:F19,'Canister Refill Specs'!C26,3)</f>
        <v>126</v>
      </c>
      <c r="E5" s="85">
        <f>INDEX('Canister Refill Specs'!B5:F19,'Canister Refill Specs'!C26,4)</f>
        <v>356</v>
      </c>
      <c r="G5" s="1"/>
    </row>
    <row r="6" spans="1:7" x14ac:dyDescent="0.2">
      <c r="D6" s="1"/>
      <c r="E6" s="1"/>
      <c r="F6" s="1"/>
      <c r="G6" s="1"/>
    </row>
    <row r="7" spans="1:7" x14ac:dyDescent="0.2">
      <c r="B7" s="129" t="s">
        <v>44</v>
      </c>
      <c r="C7" s="129"/>
      <c r="D7" s="3" t="s">
        <v>38</v>
      </c>
      <c r="E7" s="1"/>
      <c r="F7" s="1"/>
      <c r="G7" s="1"/>
    </row>
    <row r="8" spans="1:7" x14ac:dyDescent="0.2">
      <c r="B8" s="139" t="s">
        <v>11</v>
      </c>
      <c r="C8" s="136"/>
      <c r="D8" s="52">
        <v>356</v>
      </c>
    </row>
    <row r="9" spans="1:7" x14ac:dyDescent="0.2">
      <c r="B9" s="139" t="s">
        <v>12</v>
      </c>
      <c r="C9" s="136"/>
      <c r="D9" s="52">
        <v>230</v>
      </c>
    </row>
    <row r="10" spans="1:7" x14ac:dyDescent="0.2">
      <c r="B10" s="139" t="s">
        <v>13</v>
      </c>
      <c r="C10" s="136"/>
      <c r="D10" s="52">
        <v>270</v>
      </c>
      <c r="G10" s="1"/>
    </row>
    <row r="11" spans="1:7" x14ac:dyDescent="0.2">
      <c r="B11" s="139" t="s">
        <v>79</v>
      </c>
      <c r="C11" s="136"/>
      <c r="D11" s="52">
        <v>0</v>
      </c>
      <c r="G11" s="1"/>
    </row>
    <row r="12" spans="1:7" x14ac:dyDescent="0.2">
      <c r="B12" s="11"/>
      <c r="C12" s="11"/>
      <c r="G12" s="1"/>
    </row>
    <row r="13" spans="1:7" x14ac:dyDescent="0.2">
      <c r="B13" s="129" t="s">
        <v>76</v>
      </c>
      <c r="C13" s="129"/>
      <c r="D13" s="47">
        <f>IF(D11=0,D9-(D8-D10),(D8-D11)-(D8-D10))</f>
        <v>144</v>
      </c>
      <c r="E13" s="93" t="str">
        <f>IF(D10&gt;D8,"OVER","")</f>
        <v/>
      </c>
      <c r="F13" s="93"/>
      <c r="G13" s="94"/>
    </row>
    <row r="14" spans="1:7" s="102" customFormat="1" x14ac:dyDescent="0.2">
      <c r="A14" s="122"/>
      <c r="B14" s="99"/>
      <c r="C14" s="99"/>
      <c r="D14" s="47"/>
      <c r="E14" s="93"/>
      <c r="F14" s="93"/>
      <c r="G14" s="94"/>
    </row>
    <row r="15" spans="1:7" s="102" customFormat="1" x14ac:dyDescent="0.2">
      <c r="A15" s="122"/>
      <c r="B15" s="99"/>
      <c r="C15" s="99"/>
      <c r="D15" s="47"/>
      <c r="E15" s="93"/>
      <c r="F15" s="93"/>
      <c r="G15" s="94"/>
    </row>
    <row r="16" spans="1:7" s="102" customFormat="1" x14ac:dyDescent="0.2">
      <c r="A16" s="122"/>
      <c r="B16" s="99"/>
      <c r="C16" s="99"/>
      <c r="D16" s="47"/>
      <c r="E16" s="93"/>
      <c r="F16" s="93"/>
    </row>
    <row r="17" spans="1:12" s="102" customFormat="1" x14ac:dyDescent="0.2">
      <c r="A17" s="122"/>
      <c r="B17" s="99"/>
      <c r="C17" s="99"/>
      <c r="D17" s="47"/>
      <c r="E17" s="93"/>
      <c r="G17" s="103" t="s">
        <v>119</v>
      </c>
    </row>
    <row r="18" spans="1:12" s="102" customFormat="1" x14ac:dyDescent="0.2">
      <c r="A18" s="122"/>
      <c r="B18" s="99"/>
      <c r="C18" s="99"/>
      <c r="D18" s="47"/>
      <c r="E18" s="93"/>
      <c r="G18" s="103" t="s">
        <v>38</v>
      </c>
    </row>
    <row r="19" spans="1:12" s="102" customFormat="1" x14ac:dyDescent="0.2">
      <c r="A19" s="122"/>
      <c r="B19" s="99"/>
      <c r="C19" s="99"/>
      <c r="D19" s="47"/>
      <c r="E19" s="93"/>
      <c r="F19" s="88" t="s">
        <v>108</v>
      </c>
      <c r="G19" s="54">
        <v>75</v>
      </c>
    </row>
    <row r="20" spans="1:12" s="102" customFormat="1" x14ac:dyDescent="0.2">
      <c r="A20" s="122"/>
      <c r="B20" s="99"/>
      <c r="C20" s="99"/>
      <c r="D20" s="47"/>
      <c r="E20" s="93"/>
      <c r="F20" s="11" t="s">
        <v>91</v>
      </c>
      <c r="G20" s="54">
        <v>15</v>
      </c>
    </row>
    <row r="21" spans="1:12" s="102" customFormat="1" x14ac:dyDescent="0.2">
      <c r="A21" s="122"/>
      <c r="B21" s="99"/>
      <c r="C21" s="131" t="s">
        <v>118</v>
      </c>
      <c r="D21" s="131"/>
      <c r="E21" s="93"/>
      <c r="F21" s="93"/>
      <c r="G21" s="104"/>
      <c r="H21" s="90"/>
      <c r="I21" s="90"/>
      <c r="J21" s="90"/>
      <c r="K21" s="90"/>
    </row>
    <row r="22" spans="1:12" s="102" customFormat="1" x14ac:dyDescent="0.2">
      <c r="A22" s="122"/>
      <c r="B22" s="99"/>
      <c r="E22" s="93"/>
      <c r="F22" s="90"/>
      <c r="G22" s="90"/>
      <c r="H22" s="90"/>
      <c r="I22" s="90"/>
      <c r="J22" s="90"/>
      <c r="K22" s="90"/>
    </row>
    <row r="23" spans="1:12" x14ac:dyDescent="0.2">
      <c r="B23" s="137" t="s">
        <v>80</v>
      </c>
      <c r="C23" s="135"/>
      <c r="D23" s="135"/>
      <c r="E23" s="135"/>
      <c r="F23" s="77"/>
      <c r="G23" s="78" t="s">
        <v>50</v>
      </c>
      <c r="H23" s="78" t="s">
        <v>43</v>
      </c>
      <c r="I23" s="77"/>
      <c r="J23" s="77"/>
      <c r="K23" s="90"/>
    </row>
    <row r="24" spans="1:12" x14ac:dyDescent="0.2">
      <c r="B24" s="137" t="s">
        <v>39</v>
      </c>
      <c r="C24" s="135"/>
      <c r="D24" s="135"/>
      <c r="E24" s="135"/>
      <c r="F24" s="79" t="s">
        <v>45</v>
      </c>
      <c r="G24" s="75">
        <f>(G20/H29)*100</f>
        <v>6.5217391304347823</v>
      </c>
      <c r="H24" s="77"/>
      <c r="I24" s="77"/>
      <c r="J24" s="77"/>
      <c r="K24" s="90"/>
    </row>
    <row r="25" spans="1:12" s="102" customFormat="1" x14ac:dyDescent="0.2">
      <c r="A25" s="122"/>
      <c r="B25" s="101"/>
      <c r="C25" s="100"/>
      <c r="D25" s="100"/>
      <c r="E25" s="100"/>
      <c r="F25" s="79" t="s">
        <v>46</v>
      </c>
      <c r="G25" s="75">
        <f>((G19/H29)*100)-G24</f>
        <v>26.086956521739133</v>
      </c>
      <c r="H25" s="80">
        <f>MIN(MAX(I25,0%),100%)*100</f>
        <v>62.608695652173921</v>
      </c>
      <c r="I25" s="81">
        <f>IF(D11=0,(D13/D9),((D10-D11)/D9))</f>
        <v>0.62608695652173918</v>
      </c>
      <c r="J25" s="77"/>
      <c r="K25" s="90"/>
    </row>
    <row r="26" spans="1:12" x14ac:dyDescent="0.2">
      <c r="B26" s="14" t="s">
        <v>51</v>
      </c>
      <c r="C26" s="14"/>
      <c r="D26" s="3" t="s">
        <v>14</v>
      </c>
      <c r="E26" s="3" t="s">
        <v>15</v>
      </c>
      <c r="F26" s="79" t="s">
        <v>40</v>
      </c>
      <c r="G26" s="75">
        <f>100-SUM(G24:G25)</f>
        <v>67.391304347826093</v>
      </c>
      <c r="H26" s="77">
        <v>2</v>
      </c>
      <c r="I26" s="77" t="s">
        <v>42</v>
      </c>
      <c r="J26" s="77"/>
      <c r="K26" s="90"/>
    </row>
    <row r="27" spans="1:12" x14ac:dyDescent="0.2">
      <c r="B27" s="21" t="str">
        <f>INDEX('Usage Profiles'!B6:D15,INDEX('Usage Profiles'!C17:C19,1,1),1)</f>
        <v>Hike - Spring &amp; Fall</v>
      </c>
      <c r="C27" s="21"/>
      <c r="D27" s="35">
        <f>D13/INDEX('Usage Profiles'!B6:D15,INDEX('Usage Profiles'!C17:C19,1,1),2)</f>
        <v>3.4285714285714284</v>
      </c>
      <c r="E27" s="35">
        <f>D13/INDEX('Usage Profiles'!B6:D15,INDEX('Usage Profiles'!C17:C19,1,1),3)</f>
        <v>28.8</v>
      </c>
      <c r="F27" s="79" t="s">
        <v>41</v>
      </c>
      <c r="G27" s="76">
        <v>100</v>
      </c>
      <c r="H27" s="80">
        <f>200-SUM(H25:H26)</f>
        <v>135.39130434782606</v>
      </c>
      <c r="I27" s="77"/>
      <c r="J27" s="77"/>
      <c r="K27" s="90"/>
    </row>
    <row r="28" spans="1:12" x14ac:dyDescent="0.2">
      <c r="B28" s="21" t="str">
        <f>INDEX('Usage Profiles'!B6:D15,INDEX('Usage Profiles'!C17:C19,2,1),1)</f>
        <v>Stove - Pocket Rocket 2</v>
      </c>
      <c r="C28" s="21"/>
      <c r="D28" s="35">
        <f>D13/INDEX('Usage Profiles'!B6:D15,INDEX('Usage Profiles'!C17:C19,2,1),2)</f>
        <v>3.4285714285714284</v>
      </c>
      <c r="E28" s="35">
        <f>D13/INDEX('Usage Profiles'!B6:D15,INDEX('Usage Profiles'!C17:C19,2,1),3)</f>
        <v>28.8</v>
      </c>
      <c r="F28" s="77"/>
      <c r="G28" s="77"/>
      <c r="H28" s="77"/>
      <c r="I28" s="77"/>
      <c r="J28" s="77"/>
      <c r="K28" s="90"/>
    </row>
    <row r="29" spans="1:12" x14ac:dyDescent="0.2">
      <c r="B29" s="21" t="str">
        <f>INDEX('Usage Profiles'!B6:D15,INDEX('Usage Profiles'!C17:C19,3,1),1)</f>
        <v>Stove - Jet Flash</v>
      </c>
      <c r="C29" s="21"/>
      <c r="D29" s="35">
        <f>D13/INDEX('Usage Profiles'!B6:D15,INDEX('Usage Profiles'!C17:C19,3,1),2)</f>
        <v>7.2</v>
      </c>
      <c r="E29" s="35">
        <f>D13/INDEX('Usage Profiles'!B6:D15,INDEX('Usage Profiles'!C17:C19,3,1),3)</f>
        <v>48</v>
      </c>
      <c r="F29" s="77"/>
      <c r="G29" s="78" t="s">
        <v>47</v>
      </c>
      <c r="H29" s="76">
        <f>IF(D11=0,D9,(D8-D11))</f>
        <v>230</v>
      </c>
      <c r="I29" s="77"/>
      <c r="J29" s="77"/>
      <c r="K29" s="90"/>
    </row>
    <row r="30" spans="1:12" x14ac:dyDescent="0.2">
      <c r="F30" s="77"/>
      <c r="G30" s="77"/>
      <c r="H30" s="77"/>
      <c r="I30" s="77"/>
      <c r="J30" s="108"/>
      <c r="K30" s="90"/>
      <c r="L30" s="90"/>
    </row>
    <row r="31" spans="1:12" s="111" customFormat="1" x14ac:dyDescent="0.2">
      <c r="A31" s="122"/>
      <c r="B31" s="140" t="s">
        <v>124</v>
      </c>
      <c r="C31" s="133"/>
      <c r="D31" s="133"/>
      <c r="F31" s="77"/>
      <c r="G31" s="77"/>
      <c r="H31" s="77"/>
      <c r="I31" s="77"/>
      <c r="J31" s="108"/>
      <c r="K31" s="90"/>
      <c r="L31" s="90"/>
    </row>
    <row r="32" spans="1:12" x14ac:dyDescent="0.2">
      <c r="B32" s="132" t="s">
        <v>103</v>
      </c>
      <c r="C32" s="138"/>
      <c r="D32" s="138"/>
      <c r="F32" s="90"/>
      <c r="G32" s="90"/>
      <c r="H32" s="90"/>
      <c r="I32" s="90"/>
      <c r="J32" s="90"/>
      <c r="L32" s="90"/>
    </row>
    <row r="33" spans="2:12" x14ac:dyDescent="0.2">
      <c r="B33" s="71"/>
      <c r="C33" s="67"/>
      <c r="D33" s="67"/>
      <c r="E33" s="67"/>
      <c r="F33" s="90"/>
      <c r="G33" s="90"/>
      <c r="H33" s="90"/>
      <c r="I33" s="90"/>
      <c r="J33" s="90"/>
      <c r="L33" s="90"/>
    </row>
    <row r="34" spans="2:12" x14ac:dyDescent="0.2">
      <c r="L34" s="90"/>
    </row>
    <row r="35" spans="2:12" x14ac:dyDescent="0.2">
      <c r="L35" s="90"/>
    </row>
    <row r="36" spans="2:12" x14ac:dyDescent="0.2">
      <c r="F36" s="105"/>
      <c r="G36" s="90"/>
      <c r="H36" s="90"/>
      <c r="I36" s="90"/>
      <c r="L36" s="90"/>
    </row>
    <row r="37" spans="2:12" x14ac:dyDescent="0.2">
      <c r="L37" s="90"/>
    </row>
    <row r="38" spans="2:12" x14ac:dyDescent="0.2">
      <c r="L38" s="90"/>
    </row>
    <row r="39" spans="2:12" x14ac:dyDescent="0.2">
      <c r="G39" s="90"/>
      <c r="H39" s="90"/>
      <c r="I39" s="90"/>
      <c r="J39" s="90"/>
      <c r="K39" s="90"/>
      <c r="L39" s="77"/>
    </row>
    <row r="40" spans="2:12" x14ac:dyDescent="0.2">
      <c r="G40" s="90"/>
      <c r="H40" s="90"/>
      <c r="I40" s="90"/>
      <c r="J40" s="90"/>
      <c r="K40" s="90"/>
    </row>
    <row r="41" spans="2:12" x14ac:dyDescent="0.2">
      <c r="G41" s="90"/>
      <c r="H41" s="90"/>
      <c r="I41" s="90"/>
      <c r="J41" s="90"/>
      <c r="K41" s="90"/>
    </row>
    <row r="42" spans="2:12" x14ac:dyDescent="0.2">
      <c r="G42" s="90"/>
      <c r="H42" s="90"/>
      <c r="I42" s="90"/>
      <c r="J42" s="90"/>
      <c r="K42" s="90"/>
    </row>
    <row r="43" spans="2:12" x14ac:dyDescent="0.2">
      <c r="B43" s="67"/>
      <c r="C43" s="67"/>
      <c r="D43" s="67"/>
      <c r="E43" s="67"/>
      <c r="F43" s="67"/>
      <c r="G43" s="67"/>
      <c r="H43" s="67"/>
    </row>
    <row r="44" spans="2:12" x14ac:dyDescent="0.2">
      <c r="D44" s="67"/>
      <c r="E44" s="67"/>
      <c r="F44" s="67"/>
      <c r="G44" s="67"/>
      <c r="H44" s="67"/>
    </row>
    <row r="45" spans="2:12" x14ac:dyDescent="0.2">
      <c r="B45" s="69"/>
      <c r="C45" s="70"/>
      <c r="D45" s="67"/>
      <c r="E45" s="67"/>
      <c r="F45" s="67"/>
      <c r="G45" s="67"/>
      <c r="H45" s="67"/>
    </row>
    <row r="46" spans="2:12" x14ac:dyDescent="0.2">
      <c r="B46" s="69"/>
      <c r="C46" s="70"/>
      <c r="D46" s="67"/>
      <c r="H46" s="67"/>
    </row>
    <row r="47" spans="2:12" x14ac:dyDescent="0.2">
      <c r="B47" s="69"/>
      <c r="C47" s="68"/>
      <c r="D47" s="67"/>
      <c r="H47" s="67"/>
    </row>
    <row r="48" spans="2:12" x14ac:dyDescent="0.2">
      <c r="B48" s="67"/>
      <c r="C48" s="67"/>
      <c r="D48" s="67"/>
      <c r="H48" s="67"/>
    </row>
    <row r="49" spans="2:8" x14ac:dyDescent="0.2">
      <c r="B49" s="67"/>
      <c r="C49" s="67"/>
      <c r="D49" s="67"/>
      <c r="E49" s="67"/>
      <c r="F49" s="67"/>
      <c r="G49" s="67"/>
      <c r="H49" s="67"/>
    </row>
    <row r="50" spans="2:8" x14ac:dyDescent="0.2">
      <c r="B50" s="67"/>
      <c r="C50" s="67"/>
      <c r="D50" s="67"/>
      <c r="E50" s="67"/>
      <c r="F50" s="67"/>
      <c r="G50" s="67"/>
      <c r="H50" s="67"/>
    </row>
  </sheetData>
  <sheetProtection algorithmName="SHA-512" hashValue="SgkhoCqJ5/ZPOWuIaiDRzoT5ZVhENZbidTBuPw9K7+ZGSZMbXjG1GsyW86aYFGrMi1L7zZR1nrbADtgFIEWHWg==" saltValue="0BmPvcHF+B0+6rTvOOx0Vg==" spinCount="100000" sheet="1" objects="1" scenarios="1" selectLockedCells="1"/>
  <mergeCells count="12">
    <mergeCell ref="B7:C7"/>
    <mergeCell ref="B23:E23"/>
    <mergeCell ref="B24:E24"/>
    <mergeCell ref="B1:E1"/>
    <mergeCell ref="B32:D32"/>
    <mergeCell ref="B8:C8"/>
    <mergeCell ref="B9:C9"/>
    <mergeCell ref="B10:C10"/>
    <mergeCell ref="B11:C11"/>
    <mergeCell ref="B13:C13"/>
    <mergeCell ref="C21:D21"/>
    <mergeCell ref="B31:D31"/>
  </mergeCells>
  <pageMargins left="0.78749999999999998" right="0.78749999999999998" top="0.88749999999999996" bottom="0.88749999999999996" header="0.78749999999999998" footer="0.78749999999999998"/>
  <pageSetup orientation="landscape" horizontalDpi="300" verticalDpi="300" r:id="rId1"/>
  <customProperties>
    <customPr name="SSC_SHEET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4"/>
  <sheetViews>
    <sheetView showGridLines="0" showRowColHeaders="0" zoomScaleNormal="100" workbookViewId="0">
      <selection activeCell="F21" activeCellId="2" sqref="C10:C11 F20 F21"/>
    </sheetView>
  </sheetViews>
  <sheetFormatPr defaultRowHeight="12.75" x14ac:dyDescent="0.2"/>
  <cols>
    <col min="1" max="1" width="2.42578125" style="122" customWidth="1"/>
    <col min="2" max="2" width="24.140625" customWidth="1"/>
    <col min="3" max="11" width="11.5703125"/>
    <col min="12" max="12" width="9.140625" customWidth="1"/>
    <col min="13" max="1025" width="11.5703125"/>
  </cols>
  <sheetData>
    <row r="1" spans="2:16" ht="18" x14ac:dyDescent="0.25">
      <c r="B1" s="134" t="s">
        <v>81</v>
      </c>
      <c r="C1" s="135"/>
      <c r="D1" s="135"/>
      <c r="E1" s="73"/>
    </row>
    <row r="2" spans="2:16" ht="12.95" customHeight="1" x14ac:dyDescent="0.25">
      <c r="B2" s="18"/>
      <c r="C2" s="19"/>
    </row>
    <row r="3" spans="2:16" ht="12.95" customHeight="1" x14ac:dyDescent="0.2">
      <c r="B3" s="7" t="s">
        <v>56</v>
      </c>
      <c r="C3" s="142" t="str">
        <f>INDEX('Canister Refill Specs'!B5:F19,'Canister Refill Specs'!C22,1)</f>
        <v>15lb Propane Grill tank</v>
      </c>
      <c r="D3" s="138"/>
    </row>
    <row r="4" spans="2:16" ht="12.95" customHeight="1" x14ac:dyDescent="0.2">
      <c r="B4" s="7" t="s">
        <v>55</v>
      </c>
      <c r="C4" s="141" t="str">
        <f>INDEX('Canister Refill Specs'!B5:F19,'Canister Refill Specs'!C23,1)</f>
        <v>Coleman (16.4 oz P)</v>
      </c>
      <c r="D4" s="138"/>
    </row>
    <row r="5" spans="2:16" ht="12.95" customHeight="1" x14ac:dyDescent="0.25">
      <c r="B5" s="18"/>
      <c r="C5" s="19"/>
    </row>
    <row r="6" spans="2:16" ht="12.95" customHeight="1" x14ac:dyDescent="0.25">
      <c r="B6" s="2"/>
      <c r="C6" s="3" t="s">
        <v>16</v>
      </c>
      <c r="D6" s="3" t="s">
        <v>17</v>
      </c>
      <c r="E6" s="3"/>
    </row>
    <row r="7" spans="2:16" x14ac:dyDescent="0.2">
      <c r="C7" s="3" t="s">
        <v>18</v>
      </c>
      <c r="D7" s="3" t="s">
        <v>19</v>
      </c>
      <c r="E7" s="3"/>
      <c r="F7" s="1"/>
    </row>
    <row r="8" spans="2:16" x14ac:dyDescent="0.2">
      <c r="B8" s="3"/>
      <c r="C8" s="3" t="s">
        <v>38</v>
      </c>
      <c r="D8" s="3" t="s">
        <v>38</v>
      </c>
      <c r="E8" s="3"/>
      <c r="F8" s="1"/>
    </row>
    <row r="9" spans="2:16" x14ac:dyDescent="0.2">
      <c r="B9" s="11" t="s">
        <v>57</v>
      </c>
      <c r="C9" s="39">
        <f>INDEX('Canister Refill Specs'!B5:F19,'Canister Refill Specs'!C23,4)</f>
        <v>833</v>
      </c>
      <c r="D9" s="40"/>
      <c r="F9" s="1"/>
    </row>
    <row r="10" spans="2:16" x14ac:dyDescent="0.2">
      <c r="B10" s="11" t="s">
        <v>77</v>
      </c>
      <c r="C10" s="55">
        <v>368</v>
      </c>
      <c r="D10" s="41">
        <f>IF(C10&gt;C9,0,C9-C10)</f>
        <v>465</v>
      </c>
      <c r="F10" s="1"/>
    </row>
    <row r="11" spans="2:16" x14ac:dyDescent="0.2">
      <c r="B11" s="11" t="s">
        <v>78</v>
      </c>
      <c r="C11" s="52">
        <v>728</v>
      </c>
      <c r="D11" s="41">
        <f>IF(C11&gt;C9,0,C9-C11)</f>
        <v>105</v>
      </c>
      <c r="F11" s="1"/>
    </row>
    <row r="12" spans="2:16" x14ac:dyDescent="0.2">
      <c r="B12" s="50" t="s">
        <v>54</v>
      </c>
      <c r="C12" s="37">
        <f>IF(C11&gt;C9,0,IF(C10&gt;C9,0,C11-C10))</f>
        <v>360</v>
      </c>
      <c r="D12" s="40"/>
      <c r="P12" s="22"/>
    </row>
    <row r="13" spans="2:16" x14ac:dyDescent="0.2">
      <c r="B13" s="50" t="s">
        <v>89</v>
      </c>
      <c r="C13" s="51">
        <f>C12*D33</f>
        <v>0.55555555555555558</v>
      </c>
      <c r="D13" s="46"/>
      <c r="E13" s="46"/>
      <c r="P13" s="22"/>
    </row>
    <row r="14" spans="2:16" x14ac:dyDescent="0.2">
      <c r="B14" s="11"/>
      <c r="D14" s="37"/>
      <c r="F14" s="1"/>
    </row>
    <row r="15" spans="2:16" x14ac:dyDescent="0.2">
      <c r="B15" s="72" t="s">
        <v>76</v>
      </c>
      <c r="C15" s="47">
        <f>IF(C10&gt;C9,C10-INDEX('Canister Refill Specs'!B5:F19,'Canister Refill Specs'!C23,3),C11-INDEX('Canister Refill Specs'!B5:F19,'Canister Refill Specs'!C23,3))</f>
        <v>360</v>
      </c>
      <c r="D15" s="95" t="str">
        <f>IF(C11&gt;C9,"OVER",IF(C10&gt;C9,"OVER",""))</f>
        <v/>
      </c>
      <c r="E15" s="94"/>
    </row>
    <row r="17" spans="1:18" s="102" customFormat="1" x14ac:dyDescent="0.2">
      <c r="A17" s="122"/>
    </row>
    <row r="18" spans="1:18" s="102" customFormat="1" x14ac:dyDescent="0.2">
      <c r="A18" s="122"/>
      <c r="F18" s="103" t="s">
        <v>120</v>
      </c>
    </row>
    <row r="19" spans="1:18" s="102" customFormat="1" x14ac:dyDescent="0.2">
      <c r="A19" s="122"/>
      <c r="F19" s="103" t="s">
        <v>38</v>
      </c>
    </row>
    <row r="20" spans="1:18" s="102" customFormat="1" x14ac:dyDescent="0.2">
      <c r="A20" s="122"/>
      <c r="E20" s="88" t="s">
        <v>108</v>
      </c>
      <c r="F20" s="54">
        <v>75</v>
      </c>
    </row>
    <row r="21" spans="1:18" s="102" customFormat="1" x14ac:dyDescent="0.2">
      <c r="A21" s="122"/>
      <c r="E21" s="11" t="s">
        <v>91</v>
      </c>
      <c r="F21" s="54">
        <v>15</v>
      </c>
    </row>
    <row r="22" spans="1:18" s="102" customFormat="1" x14ac:dyDescent="0.2">
      <c r="A22" s="122"/>
      <c r="E22" s="90"/>
      <c r="F22" s="90"/>
      <c r="G22" s="90"/>
      <c r="H22" s="90"/>
      <c r="I22" s="90"/>
      <c r="J22" s="90"/>
    </row>
    <row r="23" spans="1:18" s="102" customFormat="1" x14ac:dyDescent="0.2">
      <c r="A23" s="122"/>
      <c r="C23" s="3" t="s">
        <v>112</v>
      </c>
      <c r="E23" s="90"/>
      <c r="F23" s="77"/>
      <c r="G23" s="78" t="s">
        <v>48</v>
      </c>
      <c r="H23" s="77"/>
      <c r="I23" s="117" t="s">
        <v>43</v>
      </c>
      <c r="J23" s="77"/>
    </row>
    <row r="24" spans="1:18" s="102" customFormat="1" x14ac:dyDescent="0.2">
      <c r="A24" s="122"/>
      <c r="E24" s="90"/>
      <c r="F24" s="79" t="s">
        <v>45</v>
      </c>
      <c r="G24" s="75">
        <f>(F21/G29)*100</f>
        <v>3.225806451612903</v>
      </c>
      <c r="H24" s="79" t="s">
        <v>53</v>
      </c>
      <c r="I24" s="75">
        <f>MIN(MAX(C15/(INDEX('Canister Refill Specs'!B5:F19,'Canister Refill Specs'!C23,2)),0%),100%)*100</f>
        <v>77.41935483870968</v>
      </c>
      <c r="J24" s="81">
        <f>C15/G29</f>
        <v>0.77419354838709675</v>
      </c>
    </row>
    <row r="25" spans="1:18" x14ac:dyDescent="0.2">
      <c r="F25" s="79" t="s">
        <v>46</v>
      </c>
      <c r="G25" s="75">
        <f>((F20/G29)*100)-G24</f>
        <v>12.903225806451612</v>
      </c>
      <c r="H25" s="79" t="s">
        <v>42</v>
      </c>
      <c r="I25" s="76">
        <v>2</v>
      </c>
      <c r="J25" s="77"/>
      <c r="P25" s="1"/>
      <c r="Q25" s="1"/>
      <c r="R25" s="1"/>
    </row>
    <row r="26" spans="1:18" x14ac:dyDescent="0.2">
      <c r="B26" s="114"/>
      <c r="C26" s="114" t="s">
        <v>22</v>
      </c>
      <c r="D26" s="114" t="s">
        <v>23</v>
      </c>
      <c r="E26" s="114" t="s">
        <v>7</v>
      </c>
      <c r="F26" s="79" t="s">
        <v>40</v>
      </c>
      <c r="G26" s="75">
        <f>100-SUM(G24:G25)</f>
        <v>83.870967741935488</v>
      </c>
      <c r="H26" s="77"/>
      <c r="I26" s="75">
        <f>200-SUM(I24:I25)</f>
        <v>120.58064516129032</v>
      </c>
      <c r="J26" s="77"/>
      <c r="P26" s="1"/>
      <c r="Q26" s="1"/>
      <c r="R26" s="1"/>
    </row>
    <row r="27" spans="1:18" x14ac:dyDescent="0.2">
      <c r="B27" s="89" t="str">
        <f>INDEX('Canister Refill Specs'!B5:F19,'Canister Refill Specs'!C22,1)</f>
        <v>15lb Propane Grill tank</v>
      </c>
      <c r="C27" s="85">
        <f>INDEX('Canister Refill Specs'!B5:F19,'Canister Refill Specs'!C22,2)</f>
        <v>6804</v>
      </c>
      <c r="D27" s="85">
        <f>INDEX('Canister Refill Specs'!B5:F19,'Canister Refill Specs'!C22,3)</f>
        <v>0</v>
      </c>
      <c r="E27" s="85">
        <f>INDEX('Canister Refill Specs'!B5:F19,'Canister Refill Specs'!C22,4)</f>
        <v>0</v>
      </c>
      <c r="F27" s="79" t="s">
        <v>41</v>
      </c>
      <c r="G27" s="76">
        <v>100</v>
      </c>
      <c r="H27" s="77"/>
      <c r="I27" s="77"/>
      <c r="J27" s="77"/>
      <c r="P27" s="1"/>
      <c r="Q27" s="1"/>
      <c r="R27" s="1"/>
    </row>
    <row r="28" spans="1:18" x14ac:dyDescent="0.2">
      <c r="B28" s="89" t="str">
        <f>INDEX('Canister Refill Specs'!B5:F19,'Canister Refill Specs'!C23,1)</f>
        <v>Coleman (16.4 oz P)</v>
      </c>
      <c r="C28" s="85">
        <f>INDEX('Canister Refill Specs'!B5:F19,'Canister Refill Specs'!C23,2)</f>
        <v>465</v>
      </c>
      <c r="D28" s="85">
        <f>INDEX('Canister Refill Specs'!B5:F19,'Canister Refill Specs'!C23,3)</f>
        <v>368</v>
      </c>
      <c r="E28" s="85">
        <f>INDEX('Canister Refill Specs'!B5:F19,'Canister Refill Specs'!C23,4)</f>
        <v>833</v>
      </c>
      <c r="F28" s="77"/>
      <c r="G28" s="76"/>
      <c r="H28" s="77"/>
      <c r="I28" s="77"/>
      <c r="J28" s="77"/>
      <c r="P28" s="1"/>
      <c r="Q28" s="1"/>
      <c r="R28" s="1"/>
    </row>
    <row r="29" spans="1:18" x14ac:dyDescent="0.2">
      <c r="F29" s="79" t="s">
        <v>52</v>
      </c>
      <c r="G29" s="75">
        <f>INDEX('Canister Refill Specs'!B5:F19,'Canister Refill Specs'!C23,2)</f>
        <v>465</v>
      </c>
      <c r="H29" s="77"/>
      <c r="I29" s="77"/>
      <c r="J29" s="77"/>
      <c r="P29" s="1"/>
      <c r="Q29" s="1"/>
      <c r="R29" s="1"/>
    </row>
    <row r="30" spans="1:18" s="111" customFormat="1" x14ac:dyDescent="0.2">
      <c r="A30" s="122"/>
      <c r="B30" s="3"/>
      <c r="C30" s="3" t="s">
        <v>16</v>
      </c>
      <c r="D30" s="3" t="s">
        <v>20</v>
      </c>
      <c r="F30" s="79"/>
      <c r="G30" s="75"/>
      <c r="H30" s="77"/>
      <c r="I30" s="77"/>
      <c r="J30" s="77"/>
      <c r="P30" s="110"/>
      <c r="Q30" s="110"/>
      <c r="R30" s="110"/>
    </row>
    <row r="31" spans="1:18" x14ac:dyDescent="0.2">
      <c r="C31" s="3" t="s">
        <v>38</v>
      </c>
      <c r="D31" s="3" t="s">
        <v>38</v>
      </c>
      <c r="F31" s="90"/>
      <c r="G31" s="90"/>
      <c r="H31" s="90"/>
      <c r="I31" s="90"/>
      <c r="J31" s="90"/>
      <c r="K31" s="91"/>
    </row>
    <row r="32" spans="1:18" x14ac:dyDescent="0.2">
      <c r="B32" s="11" t="s">
        <v>90</v>
      </c>
      <c r="C32" s="23">
        <f>INDEX('Canister Refill Specs'!B5:F19,'Canister Refill Specs'!C23,5)</f>
        <v>3.47</v>
      </c>
      <c r="D32" s="23">
        <f>INDEX('Canister Refill Specs'!B5:F19,'Canister Refill Specs'!C22,5)</f>
        <v>10.5</v>
      </c>
      <c r="E32" s="90"/>
      <c r="F32" s="90"/>
      <c r="G32" s="90"/>
      <c r="H32" s="90"/>
      <c r="I32" s="90"/>
      <c r="J32" s="90"/>
      <c r="K32" s="77"/>
    </row>
    <row r="33" spans="2:12" x14ac:dyDescent="0.2">
      <c r="B33" s="11" t="s">
        <v>82</v>
      </c>
      <c r="C33" s="24">
        <f>C32/(INDEX('Canister Refill Specs'!B5:F19,'Canister Refill Specs'!C23,2))</f>
        <v>7.4623655913978503E-3</v>
      </c>
      <c r="D33" s="24">
        <f>D32/(INDEX('Canister Refill Specs'!B5:F19,'Canister Refill Specs'!C22,2))</f>
        <v>1.5432098765432098E-3</v>
      </c>
      <c r="E33" s="90"/>
      <c r="F33" s="90"/>
      <c r="G33" s="90"/>
      <c r="H33" s="90"/>
      <c r="I33" s="90"/>
      <c r="J33" s="90"/>
      <c r="K33" s="77"/>
    </row>
    <row r="34" spans="2:12" x14ac:dyDescent="0.2">
      <c r="E34" s="90"/>
      <c r="F34" s="90"/>
      <c r="G34" s="90"/>
      <c r="H34" s="90"/>
      <c r="I34" s="90"/>
      <c r="J34" s="90"/>
      <c r="K34" s="77"/>
    </row>
    <row r="35" spans="2:12" x14ac:dyDescent="0.2">
      <c r="B35" s="143" t="s">
        <v>123</v>
      </c>
      <c r="C35" s="133"/>
      <c r="D35" s="133"/>
      <c r="E35" s="90"/>
      <c r="F35" s="90"/>
      <c r="G35" s="90"/>
      <c r="H35" s="90"/>
      <c r="I35" s="90"/>
      <c r="J35" s="90"/>
      <c r="K35" s="78"/>
      <c r="L35" s="48"/>
    </row>
    <row r="36" spans="2:12" x14ac:dyDescent="0.2">
      <c r="B36" s="132" t="s">
        <v>104</v>
      </c>
      <c r="C36" s="138"/>
      <c r="E36" s="90"/>
      <c r="F36" s="90"/>
      <c r="G36" s="90"/>
      <c r="H36" s="90"/>
      <c r="I36" s="90"/>
      <c r="J36" s="90"/>
      <c r="K36" s="77"/>
      <c r="L36" s="48"/>
    </row>
    <row r="37" spans="2:12" x14ac:dyDescent="0.2">
      <c r="K37" s="80"/>
      <c r="L37" s="49"/>
    </row>
    <row r="38" spans="2:12" x14ac:dyDescent="0.2">
      <c r="K38" s="77"/>
      <c r="L38" s="48"/>
    </row>
    <row r="39" spans="2:12" x14ac:dyDescent="0.2">
      <c r="K39" s="80"/>
      <c r="L39" s="48"/>
    </row>
    <row r="40" spans="2:12" x14ac:dyDescent="0.2">
      <c r="B40" s="67"/>
      <c r="C40" s="67"/>
      <c r="D40" s="67"/>
      <c r="K40" s="77"/>
      <c r="L40" s="48"/>
    </row>
    <row r="41" spans="2:12" x14ac:dyDescent="0.2">
      <c r="K41" s="77"/>
      <c r="L41" s="48"/>
    </row>
    <row r="42" spans="2:12" x14ac:dyDescent="0.2">
      <c r="K42" s="77"/>
    </row>
    <row r="43" spans="2:12" x14ac:dyDescent="0.2">
      <c r="K43" s="77"/>
    </row>
    <row r="44" spans="2:12" x14ac:dyDescent="0.2">
      <c r="K44" s="90"/>
    </row>
  </sheetData>
  <sheetProtection algorithmName="SHA-512" hashValue="JjKiNfK/iNniv1TDVYPETCrzg0DnQ/23lrdJVb7qLBjTVI0yIoekIRqIKtGRbpzEVZMMfukIsFQrThkTaZWhRQ==" saltValue="MbyDDARPK6PMX/C63YHuRw==" spinCount="100000" sheet="1" objects="1" scenarios="1" selectLockedCells="1"/>
  <mergeCells count="5">
    <mergeCell ref="B36:C36"/>
    <mergeCell ref="C4:D4"/>
    <mergeCell ref="C3:D3"/>
    <mergeCell ref="B1:D1"/>
    <mergeCell ref="B35:D35"/>
  </mergeCells>
  <pageMargins left="0.78749999999999998" right="0.78749999999999998" top="0.88749999999999996" bottom="0.88749999999999996" header="0.78749999999999998" footer="0.78749999999999998"/>
  <pageSetup orientation="landscape" horizontalDpi="300" verticalDpi="300" r:id="rId1"/>
  <customProperties>
    <customPr name="SSC_SHEET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00"/>
  </sheetPr>
  <dimension ref="A1:D22"/>
  <sheetViews>
    <sheetView showGridLines="0" showRowColHeaders="0" zoomScaleNormal="100" workbookViewId="0">
      <selection activeCell="C19" activeCellId="3" sqref="B6:D15 C17 C18 C19"/>
    </sheetView>
  </sheetViews>
  <sheetFormatPr defaultRowHeight="12.75" x14ac:dyDescent="0.2"/>
  <cols>
    <col min="1" max="1" width="3.5703125" customWidth="1"/>
    <col min="2" max="2" width="22.7109375" customWidth="1"/>
    <col min="3" max="4" width="11.42578125" customWidth="1"/>
    <col min="5" max="1024" width="11.5703125"/>
  </cols>
  <sheetData>
    <row r="1" spans="1:4" ht="18" x14ac:dyDescent="0.25">
      <c r="A1" s="18"/>
      <c r="B1" s="144" t="s">
        <v>67</v>
      </c>
      <c r="C1" s="135"/>
      <c r="D1" s="135"/>
    </row>
    <row r="2" spans="1:4" ht="12.95" customHeight="1" x14ac:dyDescent="0.25">
      <c r="A2" s="18"/>
      <c r="B2" s="83"/>
      <c r="C2" s="1"/>
      <c r="D2" s="1"/>
    </row>
    <row r="3" spans="1:4" x14ac:dyDescent="0.2">
      <c r="C3" s="3" t="s">
        <v>1</v>
      </c>
      <c r="D3" s="3" t="s">
        <v>1</v>
      </c>
    </row>
    <row r="4" spans="1:4" x14ac:dyDescent="0.2">
      <c r="B4" s="3"/>
      <c r="C4" s="3" t="s">
        <v>3</v>
      </c>
      <c r="D4" s="3" t="s">
        <v>8</v>
      </c>
    </row>
    <row r="5" spans="1:4" x14ac:dyDescent="0.2">
      <c r="B5" s="3" t="s">
        <v>86</v>
      </c>
      <c r="C5" s="3" t="s">
        <v>38</v>
      </c>
      <c r="D5" s="3" t="s">
        <v>38</v>
      </c>
    </row>
    <row r="6" spans="1:4" x14ac:dyDescent="0.2">
      <c r="A6" s="1">
        <v>1</v>
      </c>
      <c r="B6" s="62" t="s">
        <v>92</v>
      </c>
      <c r="C6" s="52">
        <v>20</v>
      </c>
      <c r="D6" s="52">
        <v>3</v>
      </c>
    </row>
    <row r="7" spans="1:4" x14ac:dyDescent="0.2">
      <c r="A7" s="1">
        <v>2</v>
      </c>
      <c r="B7" s="62" t="s">
        <v>93</v>
      </c>
      <c r="C7" s="52">
        <v>42</v>
      </c>
      <c r="D7" s="52">
        <v>5</v>
      </c>
    </row>
    <row r="8" spans="1:4" x14ac:dyDescent="0.2">
      <c r="A8" s="1">
        <v>3</v>
      </c>
      <c r="B8" s="62" t="s">
        <v>94</v>
      </c>
      <c r="C8" s="52">
        <v>68</v>
      </c>
      <c r="D8" s="52">
        <v>9</v>
      </c>
    </row>
    <row r="9" spans="1:4" x14ac:dyDescent="0.2">
      <c r="A9" s="1">
        <v>4</v>
      </c>
      <c r="B9" s="62" t="s">
        <v>95</v>
      </c>
      <c r="C9" s="52">
        <v>20</v>
      </c>
      <c r="D9" s="52">
        <v>3</v>
      </c>
    </row>
    <row r="10" spans="1:4" x14ac:dyDescent="0.2">
      <c r="A10" s="1">
        <v>5</v>
      </c>
      <c r="B10" s="62" t="s">
        <v>100</v>
      </c>
      <c r="C10" s="52">
        <v>42</v>
      </c>
      <c r="D10" s="52">
        <v>5</v>
      </c>
    </row>
    <row r="11" spans="1:4" x14ac:dyDescent="0.2">
      <c r="A11" s="1">
        <v>6</v>
      </c>
      <c r="B11" s="62" t="s">
        <v>96</v>
      </c>
      <c r="C11" s="52">
        <v>101</v>
      </c>
      <c r="D11" s="52">
        <v>11</v>
      </c>
    </row>
    <row r="12" spans="1:4" x14ac:dyDescent="0.2">
      <c r="A12" s="1">
        <v>7</v>
      </c>
      <c r="B12" s="62" t="s">
        <v>97</v>
      </c>
      <c r="C12" s="52">
        <v>24</v>
      </c>
      <c r="D12" s="52">
        <v>0</v>
      </c>
    </row>
    <row r="13" spans="1:4" x14ac:dyDescent="0.2">
      <c r="A13" s="1">
        <v>8</v>
      </c>
      <c r="B13" s="62" t="s">
        <v>98</v>
      </c>
      <c r="C13" s="52">
        <v>0</v>
      </c>
      <c r="D13" s="52">
        <v>0</v>
      </c>
    </row>
    <row r="14" spans="1:4" x14ac:dyDescent="0.2">
      <c r="A14" s="1">
        <v>9</v>
      </c>
      <c r="B14" s="62" t="s">
        <v>99</v>
      </c>
      <c r="C14" s="52">
        <v>0</v>
      </c>
      <c r="D14" s="52">
        <v>0</v>
      </c>
    </row>
    <row r="15" spans="1:4" x14ac:dyDescent="0.2">
      <c r="A15" s="1">
        <v>10</v>
      </c>
      <c r="B15" s="62" t="s">
        <v>101</v>
      </c>
      <c r="C15" s="52">
        <v>0</v>
      </c>
      <c r="D15" s="52">
        <v>0</v>
      </c>
    </row>
    <row r="16" spans="1:4" x14ac:dyDescent="0.2">
      <c r="C16" s="12"/>
    </row>
    <row r="17" spans="1:4" x14ac:dyDescent="0.2">
      <c r="A17" s="25"/>
      <c r="B17" s="36" t="s">
        <v>83</v>
      </c>
      <c r="C17" s="52">
        <v>5</v>
      </c>
    </row>
    <row r="18" spans="1:4" x14ac:dyDescent="0.2">
      <c r="A18" s="25"/>
      <c r="B18" s="36" t="s">
        <v>84</v>
      </c>
      <c r="C18" s="52">
        <v>2</v>
      </c>
    </row>
    <row r="19" spans="1:4" x14ac:dyDescent="0.2">
      <c r="A19" s="25"/>
      <c r="B19" s="36" t="s">
        <v>85</v>
      </c>
      <c r="C19" s="52">
        <v>1</v>
      </c>
    </row>
    <row r="20" spans="1:4" x14ac:dyDescent="0.2">
      <c r="A20" s="25"/>
      <c r="B20" s="26"/>
    </row>
    <row r="21" spans="1:4" s="111" customFormat="1" x14ac:dyDescent="0.2">
      <c r="A21" s="25"/>
      <c r="B21" s="143" t="s">
        <v>122</v>
      </c>
      <c r="C21" s="133"/>
      <c r="D21" s="133"/>
    </row>
    <row r="22" spans="1:4" x14ac:dyDescent="0.2">
      <c r="B22" s="132" t="s">
        <v>10</v>
      </c>
      <c r="C22" s="138"/>
    </row>
  </sheetData>
  <sheetProtection algorithmName="SHA-512" hashValue="1yiCDHus/0OpzIjbgcI1LWQu69ASCcJRfm7utw+apQGFULbvWseouNB4n8YjwwVCoktzaiOMjreYvuEbN/UmWA==" saltValue="RAg6e+5QvfvF2ZEWGXkqbg==" spinCount="100000" sheet="1" objects="1" scenarios="1" selectLockedCells="1"/>
  <mergeCells count="3">
    <mergeCell ref="B1:D1"/>
    <mergeCell ref="B22:C22"/>
    <mergeCell ref="B21:D21"/>
  </mergeCells>
  <dataValidations count="1">
    <dataValidation type="list" operator="equal" allowBlank="1" showErrorMessage="1" sqref="C17:C19" xr:uid="{00000000-0002-0000-0300-000000000000}">
      <formula1>"1,2,3,4,5,6,7,8,9,10"</formula1>
      <formula2>0</formula2>
    </dataValidation>
  </dataValidations>
  <pageMargins left="0.78749999999999998" right="0.78749999999999998" top="0.88749999999999996" bottom="0.88749999999999996" header="0.78749999999999998" footer="0.78749999999999998"/>
  <pageSetup orientation="portrait" horizontalDpi="300" verticalDpi="300" r:id="rId1"/>
  <customProperties>
    <customPr name="SSC_SHEET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00"/>
  </sheetPr>
  <dimension ref="A1:F50"/>
  <sheetViews>
    <sheetView showGridLines="0" showRowColHeaders="0" zoomScaleNormal="100" workbookViewId="0">
      <selection activeCell="C26" activeCellId="4" sqref="B5:F19 C22 C23 C25 C26"/>
    </sheetView>
  </sheetViews>
  <sheetFormatPr defaultRowHeight="12.75" x14ac:dyDescent="0.2"/>
  <cols>
    <col min="1" max="1" width="3.5703125" customWidth="1"/>
    <col min="2" max="2" width="21.7109375" customWidth="1"/>
    <col min="3" max="5" width="9" customWidth="1"/>
    <col min="6" max="6" width="9" style="87" customWidth="1"/>
    <col min="7" max="7" width="9" customWidth="1"/>
    <col min="8" max="1020" width="11.5703125"/>
  </cols>
  <sheetData>
    <row r="1" spans="1:6" ht="18" x14ac:dyDescent="0.25">
      <c r="A1" s="134" t="s">
        <v>59</v>
      </c>
      <c r="B1" s="145"/>
      <c r="C1" s="145"/>
      <c r="D1" s="145"/>
      <c r="E1" s="145"/>
      <c r="F1" s="145"/>
    </row>
    <row r="3" spans="1:6" x14ac:dyDescent="0.2">
      <c r="C3" s="3" t="s">
        <v>22</v>
      </c>
      <c r="D3" s="3" t="s">
        <v>23</v>
      </c>
      <c r="E3" s="3" t="s">
        <v>7</v>
      </c>
      <c r="F3"/>
    </row>
    <row r="4" spans="1:6" x14ac:dyDescent="0.2">
      <c r="B4" s="3" t="s">
        <v>86</v>
      </c>
      <c r="C4" s="3" t="s">
        <v>38</v>
      </c>
      <c r="D4" s="3" t="s">
        <v>38</v>
      </c>
      <c r="E4" s="3" t="s">
        <v>38</v>
      </c>
      <c r="F4" s="3" t="s">
        <v>24</v>
      </c>
    </row>
    <row r="5" spans="1:6" x14ac:dyDescent="0.2">
      <c r="A5" s="45">
        <v>1</v>
      </c>
      <c r="B5" s="63" t="s">
        <v>26</v>
      </c>
      <c r="C5" s="52">
        <v>100</v>
      </c>
      <c r="D5" s="55">
        <v>92</v>
      </c>
      <c r="E5" s="55">
        <v>198</v>
      </c>
      <c r="F5" s="56">
        <v>5.5</v>
      </c>
    </row>
    <row r="6" spans="1:6" x14ac:dyDescent="0.2">
      <c r="A6" s="45">
        <v>2</v>
      </c>
      <c r="B6" s="63" t="s">
        <v>26</v>
      </c>
      <c r="C6" s="52">
        <v>230</v>
      </c>
      <c r="D6" s="55">
        <v>126</v>
      </c>
      <c r="E6" s="55">
        <v>356</v>
      </c>
      <c r="F6" s="56">
        <v>6.99</v>
      </c>
    </row>
    <row r="7" spans="1:6" x14ac:dyDescent="0.2">
      <c r="A7" s="45">
        <v>3</v>
      </c>
      <c r="B7" s="63" t="s">
        <v>26</v>
      </c>
      <c r="C7" s="52">
        <v>450</v>
      </c>
      <c r="D7" s="55">
        <v>195</v>
      </c>
      <c r="E7" s="55">
        <v>645</v>
      </c>
      <c r="F7" s="56">
        <v>9.99</v>
      </c>
    </row>
    <row r="8" spans="1:6" x14ac:dyDescent="0.2">
      <c r="A8" s="45">
        <v>4</v>
      </c>
      <c r="B8" s="63" t="s">
        <v>27</v>
      </c>
      <c r="C8" s="52">
        <v>110</v>
      </c>
      <c r="D8" s="55">
        <v>101</v>
      </c>
      <c r="E8" s="55">
        <v>211</v>
      </c>
      <c r="F8" s="56">
        <v>5.5</v>
      </c>
    </row>
    <row r="9" spans="1:6" x14ac:dyDescent="0.2">
      <c r="A9" s="45">
        <v>5</v>
      </c>
      <c r="B9" s="63" t="s">
        <v>27</v>
      </c>
      <c r="C9" s="52">
        <v>227</v>
      </c>
      <c r="D9" s="55">
        <v>136</v>
      </c>
      <c r="E9" s="55">
        <v>363</v>
      </c>
      <c r="F9" s="56">
        <v>6.5</v>
      </c>
    </row>
    <row r="10" spans="1:6" x14ac:dyDescent="0.2">
      <c r="A10" s="45">
        <v>6</v>
      </c>
      <c r="B10" s="63" t="s">
        <v>27</v>
      </c>
      <c r="C10" s="52">
        <v>450</v>
      </c>
      <c r="D10" s="55">
        <v>214</v>
      </c>
      <c r="E10" s="55">
        <v>664</v>
      </c>
      <c r="F10" s="56">
        <v>9.99</v>
      </c>
    </row>
    <row r="11" spans="1:6" x14ac:dyDescent="0.2">
      <c r="A11" s="45">
        <v>7</v>
      </c>
      <c r="B11" s="63" t="s">
        <v>25</v>
      </c>
      <c r="C11" s="52">
        <v>220</v>
      </c>
      <c r="D11" s="55">
        <v>143</v>
      </c>
      <c r="E11" s="55">
        <v>363</v>
      </c>
      <c r="F11" s="56">
        <v>5.74</v>
      </c>
    </row>
    <row r="12" spans="1:6" x14ac:dyDescent="0.2">
      <c r="A12" s="45">
        <v>8</v>
      </c>
      <c r="B12" s="63" t="s">
        <v>25</v>
      </c>
      <c r="C12" s="52">
        <v>440</v>
      </c>
      <c r="D12" s="55">
        <v>185</v>
      </c>
      <c r="E12" s="55">
        <v>625</v>
      </c>
      <c r="F12" s="56">
        <v>9.2200000000000006</v>
      </c>
    </row>
    <row r="13" spans="1:6" x14ac:dyDescent="0.2">
      <c r="A13" s="45">
        <v>9</v>
      </c>
      <c r="B13" s="63" t="s">
        <v>28</v>
      </c>
      <c r="C13" s="55">
        <v>110</v>
      </c>
      <c r="D13" s="55">
        <v>102</v>
      </c>
      <c r="E13" s="55">
        <v>212</v>
      </c>
      <c r="F13" s="56">
        <v>5.8</v>
      </c>
    </row>
    <row r="14" spans="1:6" x14ac:dyDescent="0.2">
      <c r="A14" s="45">
        <v>10</v>
      </c>
      <c r="B14" s="63" t="s">
        <v>21</v>
      </c>
      <c r="C14" s="58">
        <v>0</v>
      </c>
      <c r="D14" s="59">
        <v>0</v>
      </c>
      <c r="E14" s="59">
        <v>0</v>
      </c>
      <c r="F14" s="57"/>
    </row>
    <row r="15" spans="1:6" x14ac:dyDescent="0.2">
      <c r="A15" s="45">
        <v>11</v>
      </c>
      <c r="B15" s="63" t="s">
        <v>21</v>
      </c>
      <c r="C15" s="58">
        <v>0</v>
      </c>
      <c r="D15" s="59">
        <v>0</v>
      </c>
      <c r="E15" s="59">
        <v>0</v>
      </c>
      <c r="F15" s="57"/>
    </row>
    <row r="16" spans="1:6" x14ac:dyDescent="0.2">
      <c r="A16" s="45">
        <v>12</v>
      </c>
      <c r="B16" s="63" t="s">
        <v>21</v>
      </c>
      <c r="C16" s="58">
        <v>0</v>
      </c>
      <c r="D16" s="59">
        <v>0</v>
      </c>
      <c r="E16" s="59">
        <v>0</v>
      </c>
      <c r="F16" s="57"/>
    </row>
    <row r="17" spans="1:6" x14ac:dyDescent="0.2">
      <c r="A17" s="45">
        <v>13</v>
      </c>
      <c r="B17" s="63" t="s">
        <v>29</v>
      </c>
      <c r="C17" s="52">
        <v>400</v>
      </c>
      <c r="D17" s="55">
        <v>409</v>
      </c>
      <c r="E17" s="55">
        <v>809</v>
      </c>
      <c r="F17" s="56">
        <v>3.27</v>
      </c>
    </row>
    <row r="18" spans="1:6" x14ac:dyDescent="0.2">
      <c r="A18" s="45">
        <v>14</v>
      </c>
      <c r="B18" s="63" t="s">
        <v>102</v>
      </c>
      <c r="C18" s="52">
        <v>465</v>
      </c>
      <c r="D18" s="55">
        <v>368</v>
      </c>
      <c r="E18" s="55">
        <v>833</v>
      </c>
      <c r="F18" s="56">
        <v>3.47</v>
      </c>
    </row>
    <row r="19" spans="1:6" x14ac:dyDescent="0.2">
      <c r="A19" s="45">
        <v>15</v>
      </c>
      <c r="B19" s="63" t="s">
        <v>121</v>
      </c>
      <c r="C19" s="52">
        <v>6804</v>
      </c>
      <c r="D19" s="55">
        <v>0</v>
      </c>
      <c r="E19" s="55">
        <v>0</v>
      </c>
      <c r="F19" s="56">
        <v>10.5</v>
      </c>
    </row>
    <row r="20" spans="1:6" x14ac:dyDescent="0.2">
      <c r="B20" s="28" t="s">
        <v>30</v>
      </c>
      <c r="F20"/>
    </row>
    <row r="21" spans="1:6" s="97" customFormat="1" x14ac:dyDescent="0.2">
      <c r="B21" s="98"/>
    </row>
    <row r="22" spans="1:6" x14ac:dyDescent="0.2">
      <c r="B22" s="92" t="s">
        <v>107</v>
      </c>
      <c r="C22" s="52">
        <v>15</v>
      </c>
      <c r="F22"/>
    </row>
    <row r="23" spans="1:6" x14ac:dyDescent="0.2">
      <c r="B23" s="92" t="s">
        <v>106</v>
      </c>
      <c r="C23" s="52">
        <v>14</v>
      </c>
      <c r="F23"/>
    </row>
    <row r="24" spans="1:6" x14ac:dyDescent="0.2">
      <c r="B24" s="84"/>
      <c r="C24" s="84"/>
      <c r="F24"/>
    </row>
    <row r="25" spans="1:6" x14ac:dyDescent="0.2">
      <c r="B25" s="92" t="s">
        <v>113</v>
      </c>
      <c r="C25" s="52">
        <v>1</v>
      </c>
      <c r="F25"/>
    </row>
    <row r="26" spans="1:6" x14ac:dyDescent="0.2">
      <c r="B26" s="92" t="s">
        <v>105</v>
      </c>
      <c r="C26" s="52">
        <v>2</v>
      </c>
      <c r="F26"/>
    </row>
    <row r="27" spans="1:6" x14ac:dyDescent="0.2">
      <c r="B27" s="29"/>
      <c r="F27"/>
    </row>
    <row r="28" spans="1:6" s="111" customFormat="1" x14ac:dyDescent="0.2">
      <c r="B28" s="140" t="s">
        <v>122</v>
      </c>
      <c r="C28" s="133"/>
      <c r="D28" s="133"/>
    </row>
    <row r="29" spans="1:6" x14ac:dyDescent="0.2">
      <c r="B29" s="132" t="s">
        <v>10</v>
      </c>
      <c r="C29" s="138"/>
      <c r="F29"/>
    </row>
    <row r="30" spans="1:6" x14ac:dyDescent="0.2">
      <c r="F30"/>
    </row>
    <row r="31" spans="1:6" x14ac:dyDescent="0.2">
      <c r="F31"/>
    </row>
    <row r="32" spans="1:6" x14ac:dyDescent="0.2">
      <c r="F32"/>
    </row>
    <row r="33" spans="6:6" x14ac:dyDescent="0.2">
      <c r="F33"/>
    </row>
    <row r="34" spans="6:6" x14ac:dyDescent="0.2">
      <c r="F34"/>
    </row>
    <row r="35" spans="6:6" x14ac:dyDescent="0.2">
      <c r="F35"/>
    </row>
    <row r="36" spans="6:6" x14ac:dyDescent="0.2">
      <c r="F36"/>
    </row>
    <row r="37" spans="6:6" x14ac:dyDescent="0.2">
      <c r="F37"/>
    </row>
    <row r="38" spans="6:6" x14ac:dyDescent="0.2">
      <c r="F38"/>
    </row>
    <row r="39" spans="6:6" x14ac:dyDescent="0.2">
      <c r="F39"/>
    </row>
    <row r="40" spans="6:6" x14ac:dyDescent="0.2">
      <c r="F40"/>
    </row>
    <row r="41" spans="6:6" x14ac:dyDescent="0.2">
      <c r="F41"/>
    </row>
    <row r="42" spans="6:6" x14ac:dyDescent="0.2">
      <c r="F42"/>
    </row>
    <row r="43" spans="6:6" x14ac:dyDescent="0.2">
      <c r="F43"/>
    </row>
    <row r="44" spans="6:6" x14ac:dyDescent="0.2">
      <c r="F44"/>
    </row>
    <row r="45" spans="6:6" x14ac:dyDescent="0.2">
      <c r="F45"/>
    </row>
    <row r="46" spans="6:6" x14ac:dyDescent="0.2">
      <c r="F46"/>
    </row>
    <row r="47" spans="6:6" x14ac:dyDescent="0.2">
      <c r="F47"/>
    </row>
    <row r="48" spans="6:6" x14ac:dyDescent="0.2">
      <c r="F48"/>
    </row>
    <row r="49" spans="6:6" x14ac:dyDescent="0.2">
      <c r="F49"/>
    </row>
    <row r="50" spans="6:6" x14ac:dyDescent="0.2">
      <c r="F50"/>
    </row>
  </sheetData>
  <sheetProtection algorithmName="SHA-512" hashValue="nakmEX5lVH9YWCCMNONcZu1cj8bspNut4yNa+IsPGgrtzficdJFKYx1G02i2kgo3jyXzynf92MLgOMnX8EuiAQ==" saltValue="+QqC2cfolAdjrhJLcl+yMA==" spinCount="100000" sheet="1" objects="1" scenarios="1" selectLockedCells="1"/>
  <mergeCells count="3">
    <mergeCell ref="B29:C29"/>
    <mergeCell ref="A1:F1"/>
    <mergeCell ref="B28:D28"/>
  </mergeCells>
  <dataValidations count="1">
    <dataValidation type="list" operator="equal" allowBlank="1" showErrorMessage="1" sqref="C25:C26 C22:C23" xr:uid="{00000000-0002-0000-0400-000000000000}">
      <formula1>"1,2,3,4,5,6,7,8,9,10,11,12,13,14,15"</formula1>
    </dataValidation>
  </dataValidations>
  <pageMargins left="0.78749999999999998" right="0.78749999999999998" top="0.88749999999999996" bottom="0.88749999999999996" header="0.78749999999999998" footer="0.78749999999999998"/>
  <pageSetup orientation="portrait" horizontalDpi="300" verticalDpi="300" r:id="rId1"/>
  <customProperties>
    <customPr name="SSC_SHEET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C00"/>
  </sheetPr>
  <dimension ref="A1:M94"/>
  <sheetViews>
    <sheetView showGridLines="0" showRowColHeaders="0" zoomScaleNormal="100" workbookViewId="0">
      <selection activeCell="E90" sqref="E90"/>
    </sheetView>
  </sheetViews>
  <sheetFormatPr defaultRowHeight="12.75" x14ac:dyDescent="0.2"/>
  <cols>
    <col min="1" max="1" width="2.42578125" customWidth="1"/>
    <col min="2" max="2" width="6.28515625" customWidth="1"/>
    <col min="3" max="3" width="13.140625" customWidth="1"/>
    <col min="4" max="4" width="11.5703125"/>
    <col min="5" max="6" width="12.28515625" customWidth="1"/>
    <col min="7" max="7" width="11.85546875" customWidth="1"/>
    <col min="8" max="1026" width="11.5703125"/>
  </cols>
  <sheetData>
    <row r="1" spans="2:13" ht="18" x14ac:dyDescent="0.25">
      <c r="C1" s="134" t="s">
        <v>138</v>
      </c>
      <c r="D1" s="134"/>
      <c r="E1" s="134"/>
      <c r="F1" s="134"/>
      <c r="G1" s="20"/>
      <c r="H1" s="20"/>
    </row>
    <row r="2" spans="2:13" s="116" customFormat="1" ht="12.95" customHeight="1" x14ac:dyDescent="0.25">
      <c r="C2" s="115"/>
      <c r="D2" s="115"/>
      <c r="E2" s="115"/>
      <c r="F2" s="115"/>
      <c r="G2" s="94"/>
      <c r="H2" s="94"/>
    </row>
    <row r="3" spans="2:13" s="116" customFormat="1" ht="12.95" customHeight="1" x14ac:dyDescent="0.25">
      <c r="B3" s="149" t="s">
        <v>140</v>
      </c>
      <c r="C3" s="149"/>
      <c r="D3" s="149"/>
      <c r="E3" s="115"/>
      <c r="F3" s="115"/>
      <c r="G3" s="94"/>
      <c r="H3" s="94"/>
    </row>
    <row r="4" spans="2:13" ht="15.75" x14ac:dyDescent="0.25">
      <c r="B4" s="30"/>
      <c r="C4" s="3" t="s">
        <v>31</v>
      </c>
      <c r="D4" s="3"/>
      <c r="E4" s="3" t="s">
        <v>32</v>
      </c>
      <c r="F4" s="3"/>
      <c r="H4" s="20"/>
    </row>
    <row r="5" spans="2:13" x14ac:dyDescent="0.2">
      <c r="C5" s="3" t="s">
        <v>33</v>
      </c>
      <c r="D5" s="3" t="s">
        <v>34</v>
      </c>
      <c r="E5" s="3" t="s">
        <v>35</v>
      </c>
      <c r="F5" s="3" t="s">
        <v>36</v>
      </c>
      <c r="H5" s="31"/>
      <c r="I5" s="31"/>
      <c r="J5" s="32"/>
      <c r="K5" s="32"/>
      <c r="L5" s="20"/>
      <c r="M5" s="32"/>
    </row>
    <row r="6" spans="2:13" x14ac:dyDescent="0.2">
      <c r="C6" s="43">
        <v>-40</v>
      </c>
      <c r="D6" s="43">
        <v>3.6</v>
      </c>
      <c r="E6" s="44">
        <v>0</v>
      </c>
      <c r="F6" s="44">
        <v>0</v>
      </c>
      <c r="H6" s="31"/>
      <c r="K6" s="32"/>
      <c r="L6" s="31"/>
      <c r="M6" s="31"/>
    </row>
    <row r="7" spans="2:13" x14ac:dyDescent="0.2">
      <c r="C7" s="60">
        <v>-30</v>
      </c>
      <c r="D7" s="60">
        <v>8</v>
      </c>
      <c r="E7" s="61">
        <v>0</v>
      </c>
      <c r="F7" s="61">
        <v>0</v>
      </c>
      <c r="H7" s="33"/>
      <c r="I7" s="34"/>
    </row>
    <row r="8" spans="2:13" x14ac:dyDescent="0.2">
      <c r="C8" s="43">
        <v>-20</v>
      </c>
      <c r="D8" s="43">
        <v>13.5</v>
      </c>
      <c r="E8" s="44">
        <v>0</v>
      </c>
      <c r="F8" s="44">
        <v>0</v>
      </c>
      <c r="H8" s="33"/>
      <c r="I8" s="34"/>
      <c r="K8" s="34"/>
      <c r="L8" s="34"/>
      <c r="M8" s="34"/>
    </row>
    <row r="9" spans="2:13" x14ac:dyDescent="0.2">
      <c r="C9" s="60">
        <v>-10</v>
      </c>
      <c r="D9" s="60">
        <v>20</v>
      </c>
      <c r="E9" s="61">
        <v>0</v>
      </c>
      <c r="F9" s="61">
        <v>0</v>
      </c>
      <c r="H9" s="33"/>
      <c r="I9" s="34"/>
      <c r="K9" s="34"/>
      <c r="L9" s="34"/>
      <c r="M9" s="34"/>
    </row>
    <row r="10" spans="2:13" x14ac:dyDescent="0.2">
      <c r="C10" s="43">
        <v>0</v>
      </c>
      <c r="D10" s="43">
        <v>28</v>
      </c>
      <c r="E10" s="44">
        <v>2.2999999999999998</v>
      </c>
      <c r="F10" s="44">
        <v>0</v>
      </c>
      <c r="H10" s="33"/>
      <c r="I10" s="34"/>
      <c r="K10" s="34"/>
      <c r="L10" s="34"/>
      <c r="M10" s="34"/>
    </row>
    <row r="11" spans="2:13" x14ac:dyDescent="0.2">
      <c r="C11" s="60">
        <v>10</v>
      </c>
      <c r="D11" s="60">
        <v>37</v>
      </c>
      <c r="E11" s="61">
        <v>5.9</v>
      </c>
      <c r="F11" s="61">
        <v>0</v>
      </c>
      <c r="H11" s="33"/>
      <c r="I11" s="34"/>
      <c r="K11" s="34"/>
      <c r="L11" s="34"/>
      <c r="M11" s="34"/>
    </row>
    <row r="12" spans="2:13" x14ac:dyDescent="0.2">
      <c r="C12" s="43">
        <v>20</v>
      </c>
      <c r="D12" s="43">
        <v>47</v>
      </c>
      <c r="E12" s="44">
        <v>10.199999999999999</v>
      </c>
      <c r="F12" s="44">
        <v>0</v>
      </c>
      <c r="H12" s="33"/>
      <c r="I12" s="34"/>
      <c r="K12" s="34"/>
      <c r="L12" s="34"/>
      <c r="M12" s="34"/>
    </row>
    <row r="13" spans="2:13" x14ac:dyDescent="0.2">
      <c r="C13" s="60">
        <v>30</v>
      </c>
      <c r="D13" s="60">
        <v>58</v>
      </c>
      <c r="E13" s="61">
        <v>15.4</v>
      </c>
      <c r="F13" s="61">
        <v>0</v>
      </c>
      <c r="H13" s="33"/>
      <c r="I13" s="34"/>
      <c r="K13" s="34"/>
      <c r="L13" s="34"/>
      <c r="M13" s="34"/>
    </row>
    <row r="14" spans="2:13" x14ac:dyDescent="0.2">
      <c r="C14" s="43">
        <v>40</v>
      </c>
      <c r="D14" s="43">
        <v>72</v>
      </c>
      <c r="E14" s="44">
        <v>21.5</v>
      </c>
      <c r="F14" s="44">
        <v>3.1</v>
      </c>
      <c r="H14" s="33"/>
      <c r="I14" s="34"/>
      <c r="K14" s="34"/>
      <c r="L14" s="34"/>
      <c r="M14" s="34"/>
    </row>
    <row r="15" spans="2:13" x14ac:dyDescent="0.2">
      <c r="C15" s="60">
        <v>50</v>
      </c>
      <c r="D15" s="60">
        <v>86</v>
      </c>
      <c r="E15" s="61">
        <v>28.5</v>
      </c>
      <c r="F15" s="61">
        <v>6.9</v>
      </c>
      <c r="H15" s="33"/>
      <c r="I15" s="34"/>
      <c r="K15" s="34"/>
      <c r="L15" s="34"/>
      <c r="M15" s="34"/>
    </row>
    <row r="16" spans="2:13" x14ac:dyDescent="0.2">
      <c r="C16" s="43">
        <v>60</v>
      </c>
      <c r="D16" s="43">
        <v>102</v>
      </c>
      <c r="E16" s="44">
        <v>36.5</v>
      </c>
      <c r="F16" s="44">
        <v>11.5</v>
      </c>
      <c r="H16" s="33"/>
      <c r="I16" s="34"/>
      <c r="K16" s="34"/>
      <c r="L16" s="34"/>
      <c r="M16" s="34"/>
    </row>
    <row r="17" spans="1:13" x14ac:dyDescent="0.2">
      <c r="C17" s="60">
        <v>70</v>
      </c>
      <c r="D17" s="60">
        <v>127</v>
      </c>
      <c r="E17" s="61">
        <v>45</v>
      </c>
      <c r="F17" s="61">
        <v>17</v>
      </c>
      <c r="H17" s="33"/>
      <c r="I17" s="34"/>
      <c r="K17" s="34"/>
      <c r="L17" s="34"/>
      <c r="M17" s="34"/>
    </row>
    <row r="18" spans="1:13" x14ac:dyDescent="0.2">
      <c r="C18" s="43">
        <v>80</v>
      </c>
      <c r="D18" s="43">
        <v>140</v>
      </c>
      <c r="E18" s="44">
        <v>54</v>
      </c>
      <c r="F18" s="44">
        <v>23</v>
      </c>
      <c r="H18" s="33"/>
      <c r="I18" s="34"/>
      <c r="K18" s="34"/>
      <c r="L18" s="34"/>
      <c r="M18" s="34"/>
    </row>
    <row r="19" spans="1:13" x14ac:dyDescent="0.2">
      <c r="C19" s="60">
        <v>90</v>
      </c>
      <c r="D19" s="60">
        <v>165</v>
      </c>
      <c r="E19" s="61">
        <v>66</v>
      </c>
      <c r="F19" s="61">
        <v>30</v>
      </c>
      <c r="H19" s="33"/>
      <c r="I19" s="34"/>
      <c r="K19" s="34"/>
      <c r="L19" s="34"/>
      <c r="M19" s="34"/>
    </row>
    <row r="20" spans="1:13" x14ac:dyDescent="0.2">
      <c r="C20" s="43">
        <v>100</v>
      </c>
      <c r="D20" s="43">
        <v>196</v>
      </c>
      <c r="E20" s="44">
        <v>79</v>
      </c>
      <c r="F20" s="44">
        <v>38</v>
      </c>
      <c r="H20" s="33"/>
      <c r="I20" s="34"/>
      <c r="K20" s="34"/>
      <c r="L20" s="34"/>
      <c r="M20" s="34"/>
    </row>
    <row r="21" spans="1:13" x14ac:dyDescent="0.2">
      <c r="C21" s="60">
        <v>110</v>
      </c>
      <c r="D21" s="60">
        <v>220</v>
      </c>
      <c r="E21" s="61">
        <v>93</v>
      </c>
      <c r="F21" s="61">
        <v>47</v>
      </c>
      <c r="H21" s="33"/>
      <c r="I21" s="34"/>
      <c r="K21" s="34"/>
      <c r="L21" s="34"/>
      <c r="M21" s="34"/>
    </row>
    <row r="22" spans="1:13" x14ac:dyDescent="0.2">
      <c r="C22" s="27" t="s">
        <v>37</v>
      </c>
      <c r="F22" s="34"/>
      <c r="H22" s="33"/>
      <c r="I22" s="34"/>
      <c r="K22" s="34"/>
      <c r="L22" s="34"/>
      <c r="M22" s="34"/>
    </row>
    <row r="23" spans="1:13" x14ac:dyDescent="0.2">
      <c r="H23" s="34"/>
      <c r="K23" s="34"/>
      <c r="L23" s="34"/>
      <c r="M23" s="34"/>
    </row>
    <row r="24" spans="1:13" ht="155.1" customHeight="1" x14ac:dyDescent="0.2">
      <c r="B24" s="147" t="s">
        <v>139</v>
      </c>
      <c r="C24" s="148"/>
      <c r="D24" s="148"/>
      <c r="E24" s="148"/>
      <c r="F24" s="148"/>
      <c r="G24" s="148"/>
    </row>
    <row r="25" spans="1:13" ht="12.75" customHeight="1" x14ac:dyDescent="0.25">
      <c r="B25" s="64" t="s">
        <v>69</v>
      </c>
    </row>
    <row r="26" spans="1:13" s="116" customFormat="1" ht="12.75" customHeight="1" x14ac:dyDescent="0.2">
      <c r="B26" s="149" t="s">
        <v>141</v>
      </c>
      <c r="C26" s="150"/>
      <c r="D26" s="150"/>
      <c r="E26" s="150"/>
    </row>
    <row r="27" spans="1:13" s="111" customFormat="1" x14ac:dyDescent="0.2">
      <c r="A27"/>
      <c r="C27"/>
      <c r="D27" s="109" t="s">
        <v>125</v>
      </c>
      <c r="E27" s="109" t="s">
        <v>126</v>
      </c>
      <c r="F27" s="109" t="s">
        <v>137</v>
      </c>
      <c r="G27"/>
      <c r="H27"/>
      <c r="I27" s="34"/>
      <c r="K27" s="34"/>
      <c r="L27" s="34"/>
      <c r="M27" s="34"/>
    </row>
    <row r="28" spans="1:13" s="111" customFormat="1" x14ac:dyDescent="0.2">
      <c r="D28" s="109" t="s">
        <v>38</v>
      </c>
      <c r="E28" s="109" t="s">
        <v>38</v>
      </c>
      <c r="F28" s="109" t="s">
        <v>38</v>
      </c>
      <c r="I28" s="34"/>
      <c r="K28" s="34"/>
      <c r="L28" s="34"/>
      <c r="M28" s="34"/>
    </row>
    <row r="29" spans="1:13" s="111" customFormat="1" x14ac:dyDescent="0.2">
      <c r="A29"/>
      <c r="B29" s="146" t="s">
        <v>131</v>
      </c>
      <c r="C29" s="146"/>
      <c r="D29" s="112">
        <v>891</v>
      </c>
      <c r="E29" s="112">
        <v>917</v>
      </c>
      <c r="F29" s="113">
        <f>E29-D29</f>
        <v>26</v>
      </c>
      <c r="G29"/>
      <c r="H29"/>
      <c r="I29" s="34"/>
      <c r="K29" s="34"/>
      <c r="L29" s="34"/>
      <c r="M29" s="34"/>
    </row>
    <row r="30" spans="1:13" s="111" customFormat="1" x14ac:dyDescent="0.2">
      <c r="A30"/>
      <c r="B30" s="146" t="s">
        <v>132</v>
      </c>
      <c r="C30" s="146"/>
      <c r="D30" s="112">
        <v>903</v>
      </c>
      <c r="E30" s="112">
        <v>928</v>
      </c>
      <c r="F30" s="113">
        <f t="shared" ref="F30:F38" si="0">E30-D30</f>
        <v>25</v>
      </c>
      <c r="G30"/>
      <c r="H30"/>
      <c r="I30" s="34"/>
      <c r="K30" s="34"/>
      <c r="L30" s="34"/>
      <c r="M30" s="34"/>
    </row>
    <row r="31" spans="1:13" s="111" customFormat="1" x14ac:dyDescent="0.2">
      <c r="B31" s="146" t="s">
        <v>133</v>
      </c>
      <c r="C31" s="146"/>
      <c r="D31" s="112">
        <v>819</v>
      </c>
      <c r="E31" s="112">
        <v>845</v>
      </c>
      <c r="F31" s="113">
        <f t="shared" si="0"/>
        <v>26</v>
      </c>
      <c r="I31" s="34"/>
      <c r="K31" s="34"/>
      <c r="L31" s="34"/>
      <c r="M31" s="34"/>
    </row>
    <row r="32" spans="1:13" s="111" customFormat="1" x14ac:dyDescent="0.2">
      <c r="B32" s="146" t="s">
        <v>134</v>
      </c>
      <c r="C32" s="146"/>
      <c r="D32" s="112">
        <v>835</v>
      </c>
      <c r="E32" s="112">
        <v>860</v>
      </c>
      <c r="F32" s="113">
        <f t="shared" si="0"/>
        <v>25</v>
      </c>
      <c r="I32" s="34"/>
      <c r="K32" s="34"/>
      <c r="L32" s="34"/>
      <c r="M32" s="34"/>
    </row>
    <row r="33" spans="1:13" s="111" customFormat="1" x14ac:dyDescent="0.2">
      <c r="B33" s="146" t="s">
        <v>135</v>
      </c>
      <c r="C33" s="146"/>
      <c r="D33" s="112">
        <v>811</v>
      </c>
      <c r="E33" s="112">
        <v>836</v>
      </c>
      <c r="F33" s="113">
        <f t="shared" si="0"/>
        <v>25</v>
      </c>
      <c r="I33" s="34"/>
      <c r="K33" s="34"/>
      <c r="L33" s="34"/>
      <c r="M33" s="34"/>
    </row>
    <row r="34" spans="1:13" s="111" customFormat="1" x14ac:dyDescent="0.2">
      <c r="B34" s="146" t="s">
        <v>136</v>
      </c>
      <c r="C34" s="146"/>
      <c r="D34" s="112">
        <v>809</v>
      </c>
      <c r="E34" s="112">
        <v>835</v>
      </c>
      <c r="F34" s="113">
        <f t="shared" si="0"/>
        <v>26</v>
      </c>
      <c r="I34" s="34"/>
      <c r="K34" s="34"/>
      <c r="L34" s="34"/>
      <c r="M34" s="34"/>
    </row>
    <row r="35" spans="1:13" s="111" customFormat="1" x14ac:dyDescent="0.2">
      <c r="A35"/>
      <c r="B35" s="146" t="s">
        <v>127</v>
      </c>
      <c r="C35" s="146"/>
      <c r="D35" s="112">
        <v>201</v>
      </c>
      <c r="E35" s="112">
        <v>201</v>
      </c>
      <c r="F35" s="113">
        <f t="shared" si="0"/>
        <v>0</v>
      </c>
      <c r="G35"/>
      <c r="H35"/>
      <c r="I35" s="34"/>
      <c r="K35" s="34"/>
      <c r="L35" s="34"/>
      <c r="M35" s="34"/>
    </row>
    <row r="36" spans="1:13" s="111" customFormat="1" x14ac:dyDescent="0.2">
      <c r="A36"/>
      <c r="B36" s="146" t="s">
        <v>128</v>
      </c>
      <c r="C36" s="146"/>
      <c r="D36" s="112">
        <v>382</v>
      </c>
      <c r="E36" s="112">
        <v>382</v>
      </c>
      <c r="F36" s="113">
        <f t="shared" si="0"/>
        <v>0</v>
      </c>
      <c r="G36"/>
      <c r="H36"/>
      <c r="I36" s="34"/>
      <c r="K36" s="34"/>
      <c r="L36" s="34"/>
      <c r="M36" s="34"/>
    </row>
    <row r="37" spans="1:13" s="111" customFormat="1" x14ac:dyDescent="0.2">
      <c r="B37" s="146" t="s">
        <v>129</v>
      </c>
      <c r="C37" s="146"/>
      <c r="D37" s="112">
        <v>671</v>
      </c>
      <c r="E37" s="112">
        <v>671</v>
      </c>
      <c r="F37" s="113">
        <f t="shared" si="0"/>
        <v>0</v>
      </c>
      <c r="I37" s="34"/>
      <c r="K37" s="34"/>
      <c r="L37" s="34"/>
      <c r="M37" s="34"/>
    </row>
    <row r="38" spans="1:13" s="111" customFormat="1" x14ac:dyDescent="0.2">
      <c r="B38" s="146" t="s">
        <v>130</v>
      </c>
      <c r="C38" s="146"/>
      <c r="D38" s="112">
        <v>363</v>
      </c>
      <c r="E38" s="112">
        <v>364</v>
      </c>
      <c r="F38" s="113">
        <f t="shared" si="0"/>
        <v>1</v>
      </c>
      <c r="I38" s="34"/>
      <c r="K38" s="34"/>
      <c r="L38" s="34"/>
      <c r="M38" s="34"/>
    </row>
    <row r="39" spans="1:13" s="111" customFormat="1" ht="12.75" customHeight="1" x14ac:dyDescent="0.25">
      <c r="B39" s="64"/>
    </row>
    <row r="40" spans="1:13" s="97" customFormat="1" ht="12.75" customHeight="1" x14ac:dyDescent="0.2">
      <c r="B40" s="149" t="s">
        <v>114</v>
      </c>
      <c r="C40" s="133"/>
      <c r="D40" s="133"/>
      <c r="E40" s="133"/>
      <c r="F40" s="133"/>
      <c r="G40" s="133"/>
    </row>
    <row r="41" spans="1:13" s="97" customFormat="1" ht="12.75" customHeight="1" x14ac:dyDescent="0.25">
      <c r="B41" s="64"/>
    </row>
    <row r="42" spans="1:13" ht="46.5" customHeight="1" x14ac:dyDescent="0.2">
      <c r="B42" s="147" t="s">
        <v>74</v>
      </c>
      <c r="C42" s="148"/>
      <c r="D42" s="148"/>
      <c r="E42" s="148"/>
      <c r="F42" s="148"/>
      <c r="G42" s="148"/>
    </row>
    <row r="43" spans="1:13" ht="12.75" customHeight="1" x14ac:dyDescent="0.2">
      <c r="B43" s="65"/>
      <c r="C43" s="66"/>
      <c r="D43" s="66"/>
      <c r="E43" s="66"/>
      <c r="F43" s="66"/>
      <c r="G43" s="66"/>
    </row>
    <row r="44" spans="1:13" ht="80.25" customHeight="1" x14ac:dyDescent="0.2">
      <c r="B44" s="147" t="s">
        <v>142</v>
      </c>
      <c r="C44" s="147"/>
      <c r="D44" s="147"/>
      <c r="E44" s="147"/>
      <c r="F44" s="147"/>
      <c r="G44" s="147"/>
    </row>
    <row r="45" spans="1:13" ht="12.75" customHeight="1" x14ac:dyDescent="0.2">
      <c r="B45" s="65"/>
      <c r="C45" s="66"/>
      <c r="D45" s="66"/>
      <c r="E45" s="66"/>
      <c r="F45" s="66"/>
      <c r="G45" s="66"/>
    </row>
    <row r="46" spans="1:13" ht="95.1" customHeight="1" x14ac:dyDescent="0.2">
      <c r="B46" s="147" t="s">
        <v>144</v>
      </c>
      <c r="C46" s="148"/>
      <c r="D46" s="148"/>
      <c r="E46" s="148"/>
      <c r="F46" s="148"/>
      <c r="G46" s="148"/>
    </row>
    <row r="47" spans="1:13" ht="12.75" customHeight="1" x14ac:dyDescent="0.25">
      <c r="B47" s="64" t="s">
        <v>69</v>
      </c>
    </row>
    <row r="48" spans="1:13" ht="152.25" customHeight="1" x14ac:dyDescent="0.2">
      <c r="B48" s="147" t="s">
        <v>143</v>
      </c>
      <c r="C48" s="148"/>
      <c r="D48" s="148"/>
      <c r="E48" s="148"/>
      <c r="F48" s="148"/>
      <c r="G48" s="148"/>
    </row>
    <row r="49" spans="2:7" ht="12.75" customHeight="1" x14ac:dyDescent="0.25">
      <c r="B49" s="64" t="s">
        <v>69</v>
      </c>
    </row>
    <row r="50" spans="2:7" ht="14.25" x14ac:dyDescent="0.2">
      <c r="B50" s="149" t="s">
        <v>115</v>
      </c>
      <c r="C50" s="133"/>
      <c r="D50" s="133"/>
      <c r="E50" s="133"/>
      <c r="F50" s="133"/>
    </row>
    <row r="51" spans="2:7" ht="12.75" customHeight="1" x14ac:dyDescent="0.25">
      <c r="B51" s="64" t="s">
        <v>69</v>
      </c>
    </row>
    <row r="52" spans="2:7" ht="38.25" customHeight="1" x14ac:dyDescent="0.2">
      <c r="B52" s="147" t="s">
        <v>70</v>
      </c>
      <c r="C52" s="148"/>
      <c r="D52" s="148"/>
      <c r="E52" s="148"/>
      <c r="F52" s="148"/>
      <c r="G52" s="148"/>
    </row>
    <row r="53" spans="2:7" ht="12.75" customHeight="1" x14ac:dyDescent="0.25">
      <c r="B53" s="64" t="s">
        <v>69</v>
      </c>
    </row>
    <row r="54" spans="2:7" ht="33.75" customHeight="1" x14ac:dyDescent="0.2">
      <c r="B54" s="147" t="s">
        <v>71</v>
      </c>
      <c r="C54" s="148"/>
      <c r="D54" s="148"/>
      <c r="E54" s="148"/>
      <c r="F54" s="148"/>
      <c r="G54" s="148"/>
    </row>
    <row r="55" spans="2:7" ht="12.75" customHeight="1" x14ac:dyDescent="0.25">
      <c r="B55" s="64" t="s">
        <v>69</v>
      </c>
    </row>
    <row r="56" spans="2:7" ht="33.75" customHeight="1" x14ac:dyDescent="0.2">
      <c r="B56" s="147" t="s">
        <v>72</v>
      </c>
      <c r="C56" s="148"/>
      <c r="D56" s="148"/>
      <c r="E56" s="148"/>
      <c r="F56" s="148"/>
      <c r="G56" s="148"/>
    </row>
    <row r="57" spans="2:7" ht="12.75" customHeight="1" x14ac:dyDescent="0.25">
      <c r="B57" s="64" t="s">
        <v>69</v>
      </c>
    </row>
    <row r="58" spans="2:7" ht="46.5" customHeight="1" x14ac:dyDescent="0.2">
      <c r="B58" s="147" t="s">
        <v>87</v>
      </c>
      <c r="C58" s="148"/>
      <c r="D58" s="148"/>
      <c r="E58" s="148"/>
      <c r="F58" s="148"/>
      <c r="G58" s="148"/>
    </row>
    <row r="59" spans="2:7" ht="12.75" customHeight="1" x14ac:dyDescent="0.2"/>
    <row r="60" spans="2:7" ht="48" customHeight="1" x14ac:dyDescent="0.2">
      <c r="B60" s="147" t="s">
        <v>75</v>
      </c>
      <c r="C60" s="148"/>
      <c r="D60" s="148"/>
      <c r="E60" s="148"/>
      <c r="F60" s="148"/>
      <c r="G60" s="148"/>
    </row>
    <row r="61" spans="2:7" ht="12.75" customHeight="1" x14ac:dyDescent="0.25">
      <c r="B61" s="64" t="s">
        <v>69</v>
      </c>
    </row>
    <row r="62" spans="2:7" ht="32.25" customHeight="1" x14ac:dyDescent="0.2">
      <c r="B62" s="147" t="s">
        <v>73</v>
      </c>
      <c r="C62" s="148"/>
      <c r="D62" s="148"/>
      <c r="E62" s="148"/>
      <c r="F62" s="148"/>
      <c r="G62" s="148"/>
    </row>
    <row r="63" spans="2:7" ht="12.75" customHeight="1" x14ac:dyDescent="0.25">
      <c r="B63" s="64" t="s">
        <v>69</v>
      </c>
    </row>
    <row r="64" spans="2:7" ht="79.5" customHeight="1" x14ac:dyDescent="0.2">
      <c r="B64" s="147" t="s">
        <v>88</v>
      </c>
      <c r="C64" s="148"/>
      <c r="D64" s="148"/>
      <c r="E64" s="148"/>
      <c r="F64" s="148"/>
      <c r="G64" s="148"/>
    </row>
    <row r="65" spans="2:9" ht="12.75" customHeight="1" x14ac:dyDescent="0.25">
      <c r="B65" s="64"/>
    </row>
    <row r="66" spans="2:9" x14ac:dyDescent="0.2">
      <c r="B66" s="151" t="s">
        <v>10</v>
      </c>
      <c r="C66" s="138"/>
      <c r="D66" s="138"/>
      <c r="E66" s="138"/>
    </row>
    <row r="70" spans="2:9" ht="15" x14ac:dyDescent="0.25">
      <c r="I70" s="64"/>
    </row>
    <row r="71" spans="2:9" ht="15" x14ac:dyDescent="0.25">
      <c r="I71" s="64"/>
    </row>
    <row r="72" spans="2:9" ht="15" x14ac:dyDescent="0.25">
      <c r="I72" s="64"/>
    </row>
    <row r="73" spans="2:9" ht="15" x14ac:dyDescent="0.25">
      <c r="I73" s="64"/>
    </row>
    <row r="74" spans="2:9" ht="15" x14ac:dyDescent="0.25">
      <c r="I74" s="64"/>
    </row>
    <row r="75" spans="2:9" ht="15" x14ac:dyDescent="0.25">
      <c r="I75" s="64"/>
    </row>
    <row r="76" spans="2:9" ht="15" x14ac:dyDescent="0.25">
      <c r="I76" s="64"/>
    </row>
    <row r="77" spans="2:9" ht="15" x14ac:dyDescent="0.25">
      <c r="I77" s="64"/>
    </row>
    <row r="78" spans="2:9" ht="15" x14ac:dyDescent="0.25">
      <c r="I78" s="64"/>
    </row>
    <row r="79" spans="2:9" ht="15" x14ac:dyDescent="0.25">
      <c r="I79" s="64"/>
    </row>
    <row r="80" spans="2:9" ht="15" x14ac:dyDescent="0.25">
      <c r="I80" s="64"/>
    </row>
    <row r="81" spans="9:9" ht="15" x14ac:dyDescent="0.25">
      <c r="I81" s="64"/>
    </row>
    <row r="82" spans="9:9" ht="15" x14ac:dyDescent="0.25">
      <c r="I82" s="64"/>
    </row>
    <row r="83" spans="9:9" ht="15" x14ac:dyDescent="0.25">
      <c r="I83" s="64"/>
    </row>
    <row r="84" spans="9:9" ht="15" x14ac:dyDescent="0.25">
      <c r="I84" s="64"/>
    </row>
    <row r="85" spans="9:9" ht="15" x14ac:dyDescent="0.25">
      <c r="I85" s="64"/>
    </row>
    <row r="86" spans="9:9" ht="15" x14ac:dyDescent="0.25">
      <c r="I86" s="64"/>
    </row>
    <row r="87" spans="9:9" ht="15" x14ac:dyDescent="0.25">
      <c r="I87" s="64"/>
    </row>
    <row r="88" spans="9:9" ht="15" x14ac:dyDescent="0.25">
      <c r="I88" s="64"/>
    </row>
    <row r="89" spans="9:9" ht="15" x14ac:dyDescent="0.25">
      <c r="I89" s="64"/>
    </row>
    <row r="90" spans="9:9" ht="15" x14ac:dyDescent="0.25">
      <c r="I90" s="64"/>
    </row>
    <row r="91" spans="9:9" ht="15" x14ac:dyDescent="0.25">
      <c r="I91" s="64"/>
    </row>
    <row r="92" spans="9:9" ht="15" x14ac:dyDescent="0.25">
      <c r="I92" s="64"/>
    </row>
    <row r="93" spans="9:9" ht="15" x14ac:dyDescent="0.25">
      <c r="I93" s="64"/>
    </row>
    <row r="94" spans="9:9" x14ac:dyDescent="0.2">
      <c r="I94" s="28"/>
    </row>
  </sheetData>
  <sheetProtection algorithmName="SHA-512" hashValue="o4b1f6IaewDJNHwzzKo9R+K9i4Nftg9jevOjcp8sTmEeiOyCk+UR+8ZV3wW5lCr1+jcYvas2/E8dexb6Uk1rFg==" saltValue="s9maGUOZU/+03vLBwBvDIQ==" spinCount="100000" sheet="1" objects="1" scenarios="1" selectLockedCells="1"/>
  <mergeCells count="28">
    <mergeCell ref="B40:G40"/>
    <mergeCell ref="B50:F50"/>
    <mergeCell ref="B42:G42"/>
    <mergeCell ref="B44:G44"/>
    <mergeCell ref="B66:E66"/>
    <mergeCell ref="B58:G58"/>
    <mergeCell ref="B60:G60"/>
    <mergeCell ref="B62:G62"/>
    <mergeCell ref="B64:G64"/>
    <mergeCell ref="B46:G46"/>
    <mergeCell ref="B48:G48"/>
    <mergeCell ref="B52:G52"/>
    <mergeCell ref="B54:G54"/>
    <mergeCell ref="B56:G56"/>
    <mergeCell ref="B29:C29"/>
    <mergeCell ref="B30:C30"/>
    <mergeCell ref="B31:C31"/>
    <mergeCell ref="B32:C32"/>
    <mergeCell ref="C1:F1"/>
    <mergeCell ref="B24:G24"/>
    <mergeCell ref="B3:D3"/>
    <mergeCell ref="B26:E26"/>
    <mergeCell ref="B38:C38"/>
    <mergeCell ref="B33:C33"/>
    <mergeCell ref="B34:C34"/>
    <mergeCell ref="B35:C35"/>
    <mergeCell ref="B36:C36"/>
    <mergeCell ref="B37:C37"/>
  </mergeCells>
  <pageMargins left="0.78749999999999998" right="0.78749999999999998" top="0.88749999999999996" bottom="0.88749999999999996" header="0.78749999999999998" footer="0.78749999999999998"/>
  <pageSetup orientation="portrait" horizontalDpi="300" verticalDpi="300" r:id="rId1"/>
  <customProperties>
    <customPr name="SSC_SHEET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53264-930D-41CC-8AC4-AA869D73B756}">
  <dimension ref="C1:E6"/>
  <sheetViews>
    <sheetView workbookViewId="0"/>
  </sheetViews>
  <sheetFormatPr defaultRowHeight="12.75" x14ac:dyDescent="0.2"/>
  <sheetData>
    <row r="1" spans="3:5" x14ac:dyDescent="0.2">
      <c r="C1" t="s">
        <v>60</v>
      </c>
      <c r="D1" t="s">
        <v>68</v>
      </c>
      <c r="E1" t="s">
        <v>61</v>
      </c>
    </row>
    <row r="2" spans="3:5" x14ac:dyDescent="0.2">
      <c r="C2" t="s">
        <v>62</v>
      </c>
    </row>
    <row r="3" spans="3:5" x14ac:dyDescent="0.2">
      <c r="C3" t="s">
        <v>63</v>
      </c>
    </row>
    <row r="4" spans="3:5" x14ac:dyDescent="0.2">
      <c r="C4" t="s">
        <v>64</v>
      </c>
    </row>
    <row r="5" spans="3:5" x14ac:dyDescent="0.2">
      <c r="C5" t="s">
        <v>65</v>
      </c>
    </row>
    <row r="6" spans="3:5" x14ac:dyDescent="0.2">
      <c r="C6"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1458</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Trip Planning</vt:lpstr>
      <vt:lpstr>Calculate Canister Fuel Level</vt:lpstr>
      <vt:lpstr>Refilling Canisters</vt:lpstr>
      <vt:lpstr>Usage Profiles</vt:lpstr>
      <vt:lpstr>Canister Refill Specs</vt:lpstr>
      <vt:lpstr>PSI - Temp - Weight</vt:lpstr>
      <vt:lpstr>'Calculate Canister Fuel Level'!Print_Area</vt:lpstr>
      <vt:lpstr>'Canister Refill Specs'!Print_Area</vt:lpstr>
      <vt:lpstr>'PSI - Temp - Weight'!Print_Area</vt:lpstr>
      <vt:lpstr>'Refilling Canisters'!Print_Area</vt:lpstr>
      <vt:lpstr>'Trip Planning'!Print_Area</vt:lpstr>
      <vt:lpstr>'Usage Profiles'!Print_Area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Donald</cp:lastModifiedBy>
  <cp:revision>497</cp:revision>
  <cp:lastPrinted>2019-04-10T01:07:22Z</cp:lastPrinted>
  <dcterms:created xsi:type="dcterms:W3CDTF">2019-01-12T18:54:47Z</dcterms:created>
  <dcterms:modified xsi:type="dcterms:W3CDTF">2019-05-29T17:27:32Z</dcterms:modified>
  <dc:language>en-US</dc:language>
</cp:coreProperties>
</file>